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İzin Planı" state="visible" r:id="rId4"/>
    <sheet sheetId="2" name="Yıllık Görünüm" state="visible" r:id="rId5"/>
    <sheet sheetId="3" name="Haftalık Doluluk" state="visible" r:id="rId6"/>
    <sheet sheetId="4" name="Özet" state="visible" r:id="rId7"/>
    <sheet sheetId="5" name="Nasıl Kullanılır" state="visible" r:id="rId8"/>
  </sheets>
  <definedNames>
    <definedName name="_xlnm.Print_Titles" localSheetId="0">'İzin Planı'!$5:$5</definedName>
    <definedName name="_xlnm.Print_Titles" localSheetId="1">'Yıllık Görünüm'!$5:$5</definedName>
    <definedName name="_xlnm.Print_Titles" localSheetId="2">'Haftalık Doluluk'!$5:$5</definedName>
  </definedNames>
  <calcPr calcId="171027"/>
</workbook>
</file>

<file path=xl/comments1.xml><?xml version="1.0" encoding="utf-8"?>
<comments xmlns="http://schemas.openxmlformats.org/spreadsheetml/2006/main">
  <authors>
    <author>Author</author>
  </authors>
  <commentList>
    <comment ref="E5" authorId="0">
      <text>
        <r>
          <t>Bu yılın izin hakkı + önceki yıllardan devreden gün.</t>
        </r>
      </text>
    </comment>
    <comment ref="H5" authorId="0">
      <text>
        <r>
          <t>İzinden düşülecek iş günü sayısı.</t>
        </r>
      </text>
    </comment>
    <comment ref="K5" authorId="0">
      <text>
        <r>
          <t>İzinden düşülecek iş günü sayısı.</t>
        </r>
      </text>
    </comment>
    <comment ref="N5" authorId="0">
      <text>
        <r>
          <t>İzinden düşülecek iş günü sayısı.</t>
        </r>
      </text>
    </comment>
  </commentList>
</comments>
</file>

<file path=xl/sharedStrings.xml><?xml version="1.0" encoding="utf-8"?>
<sst xmlns="http://schemas.openxmlformats.org/spreadsheetml/2006/main" count="172" uniqueCount="147">
  <si>
    <t>Yıllık İzin Planı</t>
  </si>
  <si>
    <t>Departman: [Departman]  ·  Plan yılı: [Yıl]  ·  Hazırlayan: [Ad Soyad]</t>
  </si>
  <si>
    <t>ikpartner.com  ·  Ücretsiz İK şablonu  ·  0538 949 22 87</t>
  </si>
  <si>
    <t>Sıra</t>
  </si>
  <si>
    <t>Sicil No</t>
  </si>
  <si>
    <t>Ad Soyad</t>
  </si>
  <si>
    <t>Görev</t>
  </si>
  <si>
    <t>Kullanılabilir İzin (gün)</t>
  </si>
  <si>
    <t>1. Dönem Başlangıç</t>
  </si>
  <si>
    <t>1. Dönem Bitiş</t>
  </si>
  <si>
    <t>1. Dönem Gün</t>
  </si>
  <si>
    <t>2. Dönem Başlangıç</t>
  </si>
  <si>
    <t>2. Dönem Bitiş</t>
  </si>
  <si>
    <t>2. Dönem Gün</t>
  </si>
  <si>
    <t>3. Dönem Başlangıç</t>
  </si>
  <si>
    <t>3. Dönem Bitiş</t>
  </si>
  <si>
    <t>3. Dönem Gün</t>
  </si>
  <si>
    <t>Planlanan Toplam</t>
  </si>
  <si>
    <t>Plan Dışı Kalan</t>
  </si>
  <si>
    <t>10 Gün Kuralı</t>
  </si>
  <si>
    <t>Vekil / Yedek</t>
  </si>
  <si>
    <t>Çalışan Onayı</t>
  </si>
  <si>
    <t>Yönetici Onayı</t>
  </si>
  <si>
    <t>1001</t>
  </si>
  <si>
    <t>Örnek Çalışan A</t>
  </si>
  <si>
    <t>Satış Uzmanı</t>
  </si>
  <si>
    <t>Örnek Çalışan E</t>
  </si>
  <si>
    <t>Evet</t>
  </si>
  <si>
    <t>Onaylandı</t>
  </si>
  <si>
    <t>1002</t>
  </si>
  <si>
    <t>Örnek Çalışan B</t>
  </si>
  <si>
    <t>Örnek Çalışan D</t>
  </si>
  <si>
    <t>1003</t>
  </si>
  <si>
    <t>Örnek Çalışan C</t>
  </si>
  <si>
    <t>Bölge Sorumlusu</t>
  </si>
  <si>
    <t>Revize</t>
  </si>
  <si>
    <t>1004</t>
  </si>
  <si>
    <t>Satış Destek</t>
  </si>
  <si>
    <t>Beklemede</t>
  </si>
  <si>
    <t>1005</t>
  </si>
  <si>
    <t>Hayır</t>
  </si>
  <si>
    <t>TOPLAM</t>
  </si>
  <si>
    <t>Her sütun bir haftadır (H1 = Özet sayfasındaki takvim başlangıcı).  İ = izinli  ·  kırmızı = izinli sayısı sınırı aşan hafta</t>
  </si>
  <si>
    <t>H1</t>
  </si>
  <si>
    <t>H2</t>
  </si>
  <si>
    <t>H3</t>
  </si>
  <si>
    <t>H4</t>
  </si>
  <si>
    <t>H5</t>
  </si>
  <si>
    <t>H6</t>
  </si>
  <si>
    <t>H7</t>
  </si>
  <si>
    <t>H8</t>
  </si>
  <si>
    <t>H9</t>
  </si>
  <si>
    <t>H10</t>
  </si>
  <si>
    <t>H11</t>
  </si>
  <si>
    <t>H12</t>
  </si>
  <si>
    <t>H13</t>
  </si>
  <si>
    <t>H14</t>
  </si>
  <si>
    <t>H15</t>
  </si>
  <si>
    <t>H16</t>
  </si>
  <si>
    <t>H17</t>
  </si>
  <si>
    <t>H18</t>
  </si>
  <si>
    <t>H19</t>
  </si>
  <si>
    <t>H20</t>
  </si>
  <si>
    <t>H21</t>
  </si>
  <si>
    <t>H22</t>
  </si>
  <si>
    <t>H23</t>
  </si>
  <si>
    <t>H24</t>
  </si>
  <si>
    <t>H25</t>
  </si>
  <si>
    <t>H26</t>
  </si>
  <si>
    <t>H27</t>
  </si>
  <si>
    <t>H28</t>
  </si>
  <si>
    <t>H29</t>
  </si>
  <si>
    <t>H30</t>
  </si>
  <si>
    <t>H31</t>
  </si>
  <si>
    <t>H32</t>
  </si>
  <si>
    <t>H33</t>
  </si>
  <si>
    <t>H34</t>
  </si>
  <si>
    <t>H35</t>
  </si>
  <si>
    <t>H36</t>
  </si>
  <si>
    <t>H37</t>
  </si>
  <si>
    <t>H38</t>
  </si>
  <si>
    <t>H39</t>
  </si>
  <si>
    <t>H40</t>
  </si>
  <si>
    <t>H41</t>
  </si>
  <si>
    <t>H42</t>
  </si>
  <si>
    <t>H43</t>
  </si>
  <si>
    <t>H44</t>
  </si>
  <si>
    <t>H45</t>
  </si>
  <si>
    <t>H46</t>
  </si>
  <si>
    <t>H47</t>
  </si>
  <si>
    <t>H48</t>
  </si>
  <si>
    <t>H49</t>
  </si>
  <si>
    <t>H50</t>
  </si>
  <si>
    <t>H51</t>
  </si>
  <si>
    <t>H52</t>
  </si>
  <si>
    <t>H53</t>
  </si>
  <si>
    <t>İZİNLİ</t>
  </si>
  <si>
    <t>Hafta</t>
  </si>
  <si>
    <t>Hafta Başlangıcı</t>
  </si>
  <si>
    <t>Hafta Sonu</t>
  </si>
  <si>
    <t>İzinli Kişi</t>
  </si>
  <si>
    <t>Ekip Mevcudu</t>
  </si>
  <si>
    <t>İzinli Oranı</t>
  </si>
  <si>
    <t>Durum</t>
  </si>
  <si>
    <t>Yönetici Notu</t>
  </si>
  <si>
    <t>Parametreler</t>
  </si>
  <si>
    <t>Takvim başlangıcı (pazartesi)</t>
  </si>
  <si>
    <t>Plan yılının 1 Ocak'ını içeren haftanın pazartesi günü</t>
  </si>
  <si>
    <t>Departman</t>
  </si>
  <si>
    <t>[Departman]</t>
  </si>
  <si>
    <t>Plan yılı</t>
  </si>
  <si>
    <t>[Yıl]</t>
  </si>
  <si>
    <t>Aynı hafta izinde olabilecek en fazla kişi</t>
  </si>
  <si>
    <t>İş sürekliliğine göre departman belirler</t>
  </si>
  <si>
    <t>Plan Özeti</t>
  </si>
  <si>
    <t>Planlanan çalışan sayısı</t>
  </si>
  <si>
    <t>Toplam kullanılabilir izin (gün)</t>
  </si>
  <si>
    <t>Toplam planlanan izin (gün)</t>
  </si>
  <si>
    <t>Plan dışı kalan izin (gün)</t>
  </si>
  <si>
    <t>Birikmemesi için yıl içinde planlayın.</t>
  </si>
  <si>
    <t>En yoğun haftadaki izinli kişi</t>
  </si>
  <si>
    <t>Çakışma riski olan hafta sayısı</t>
  </si>
  <si>
    <t>Haftalık Doluluk sayfasındaki kırmızı satırlar</t>
  </si>
  <si>
    <t>10 gün kuralı kontrol edilecek çalışan</t>
  </si>
  <si>
    <t>Onay bekleyen / revize plan</t>
  </si>
  <si>
    <t>Onay</t>
  </si>
  <si>
    <t>Hazırlayan (Birim Yöneticisi)</t>
  </si>
  <si>
    <t>[Ad Soyad]</t>
  </si>
  <si>
    <t>Onaylayan (İK)</t>
  </si>
  <si>
    <t>Duyuru tarihi</t>
  </si>
  <si>
    <t>[GG.AA.YYYY]</t>
  </si>
  <si>
    <t>Nasıl Kullanılır?</t>
  </si>
  <si>
    <t>Bir departmanın yıllık ücretli izinlerini en fazla üç döneme bölerek planlayan, planı 53 haftalık yıllık görünümde gösteren ve aynı hafta izinde olan kişi sayısını belirlediğiniz sınırla karşılaştırarak çakışmaları renklendiren izin planı şablonu. Yıllık izin bölünerek kullanılabilir; ancak bölümlerden biri 10 günden az olamaz.</t>
  </si>
  <si>
    <t>Kullanım adımları</t>
  </si>
  <si>
    <t>1. Özet sayfasında takvim başlangıcını (plan yılının 1 Ocak gününü içeren haftanın pazartesi günü), departmanı, plan yılını ve aynı hafta izinde olabilecek en fazla kişi sayısını girin.</t>
  </si>
  <si>
    <t>2. İzin Planı sayfasına her çalışan için Sicil No, Ad Soyad, Görev ve kullanılabilir izin gününü (o yılki hak + devreden) yazın. Bu değeri Yıllık İzin Takip Çizelgesi'nden alabilirsiniz.</t>
  </si>
  <si>
    <t>3. Her çalışanın izin taleplerini en fazla üç dönem olarak girin: başlangıç, bitiş ve izinden düşülecek iş günü sayısı (hafta tatili ve genel tatiller hariç).</t>
  </si>
  <si>
    <t>4. Planlanan Toplam ve Plan Dışı Kalan sütunları otomatik hesaplanır. Plan dışı kalan gün eksiye düşerse kırmızı, artı kalırsa sarı görünür. Bitiş tarihi başlangıçtan önceyse hücre kırmızıya döner.</t>
  </si>
  <si>
    <t>5. 10 Gün Kuralı sütunu, dönemlerden en az biri 10 iş günü veya daha uzun değilse 'Kontrol' uyarısı verir.</t>
  </si>
  <si>
    <t>6. Yıllık Görünüm sayfası planı haftalara yayar: İ harfi o hafta izinde olunduğunu gösterir. Bir haftadaki izinli sayısı Özet'teki sınırı aşarsa o haftanın hücreleri kırmızıya döner. Alt satır haftalık izinli sayısını verir.</t>
  </si>
  <si>
    <t>7. Haftalık Doluluk sayfasında her haftanın tarihlerini, izinli kişi sayısını, ekibe oranını ve Çakışma riski uyarısını görürsünüz. Çakışan haftalarda çalışanlarla görüşüp tarihleri kaydırın veya vekil belirleyin.</t>
  </si>
  <si>
    <t>8. Plan kesinleşince çalışan ve yönetici onay sütunlarını doldurun ve planı çalışanlara duyurun. Plan, izin talep formlarının yerini tutmaz; her izin kullanımında ayrıca yazılı talep ve onay alın.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</si>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</sst>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3A4A61"/>
      <sz val="10"/>
      <name val="Calibri"/>
    </font>
    <font>
      <color rgb="FF0E2849"/>
      <sz val="10"/>
      <name val="Calibri"/>
    </font>
    <font>
      <b/>
      <color rgb="FF0E2849"/>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3" fontId="6" fillId="0" borderId="2" xfId="0" applyNumberFormat="1" applyFont="1" applyBorder="1"/>
    <xf numFmtId="164" fontId="6" fillId="0" borderId="2" xfId="0" applyNumberFormat="1" applyFont="1" applyBorder="1" applyAlignment="1">
      <alignment horizontal="center"/>
    </xf>
    <xf numFmtId="164" fontId="7" fillId="0" borderId="2" xfId="0" applyNumberFormat="1" applyFont="1" applyBorder="1" applyAlignment="1">
      <alignment horizontal="center"/>
    </xf>
    <xf numFmtId="3" fontId="7" fillId="0" borderId="2" xfId="0" applyNumberFormat="1" applyFont="1" applyBorder="1"/>
    <xf numFmtId="3" fontId="8" fillId="3" borderId="2" xfId="0" applyNumberFormat="1" applyFont="1" applyFill="1" applyBorder="1"/>
    <xf numFmtId="0" fontId="8" fillId="3" borderId="2" xfId="0" applyFont="1" applyFill="1" applyBorder="1"/>
    <xf numFmtId="0" fontId="6" fillId="0" borderId="2" xfId="0" applyFont="1" applyBorder="1" applyAlignment="1">
      <alignment horizontal="center"/>
    </xf>
    <xf numFmtId="0" fontId="7" fillId="0" borderId="2" xfId="0" applyFont="1" applyBorder="1"/>
    <xf numFmtId="0" fontId="7" fillId="0" borderId="2" xfId="0" applyFont="1" applyBorder="1" applyAlignment="1">
      <alignment horizontal="center"/>
    </xf>
    <xf numFmtId="0" fontId="9" fillId="4" borderId="3" xfId="0" applyFont="1" applyFill="1" applyBorder="1"/>
    <xf numFmtId="3" fontId="9" fillId="4" borderId="3" xfId="0" applyNumberFormat="1" applyFont="1" applyFill="1" applyBorder="1"/>
    <xf numFmtId="164" fontId="9" fillId="4" borderId="3" xfId="0" applyNumberFormat="1" applyFont="1" applyFill="1" applyBorder="1"/>
    <xf numFmtId="164" fontId="8" fillId="3" borderId="2" xfId="0" applyNumberFormat="1" applyFont="1" applyFill="1" applyBorder="1" applyAlignment="1">
      <alignment horizontal="center"/>
    </xf>
    <xf numFmtId="9" fontId="8" fillId="3" borderId="2" xfId="0" applyNumberFormat="1" applyFont="1" applyFill="1" applyBorder="1"/>
    <xf numFmtId="0" fontId="7" fillId="0" borderId="2" xfId="0" applyFont="1" applyBorder="1" applyAlignment="1">
      <alignment vertical="top" wrapText="1"/>
    </xf>
    <xf numFmtId="0" fontId="10" fillId="0" borderId="0" xfId="0" applyFont="1"/>
    <xf numFmtId="0" fontId="9" fillId="3" borderId="2" xfId="0" applyFont="1" applyFill="1" applyBorder="1"/>
    <xf numFmtId="164" fontId="11" fillId="5" borderId="2" xfId="0" applyNumberFormat="1" applyFont="1" applyFill="1" applyBorder="1" applyAlignment="1">
      <alignment horizontal="right"/>
    </xf>
    <xf numFmtId="0" fontId="12" fillId="0" borderId="0" xfId="0" applyFont="1"/>
    <xf numFmtId="0" fontId="11" fillId="5" borderId="2" xfId="0" applyFont="1" applyFill="1" applyBorder="1" applyAlignment="1">
      <alignment horizontal="right"/>
    </xf>
    <xf numFmtId="3" fontId="11" fillId="5" borderId="2" xfId="0" applyNumberFormat="1" applyFont="1" applyFill="1" applyBorder="1" applyAlignment="1">
      <alignment horizontal="right"/>
    </xf>
    <xf numFmtId="3" fontId="13" fillId="0" borderId="2" xfId="0" applyNumberFormat="1" applyFont="1" applyBorder="1" applyAlignment="1">
      <alignment horizontal="right"/>
    </xf>
    <xf numFmtId="0" fontId="7"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15">
    <dxf>
      <fill>
        <patternFill patternType="solid">
          <bgColor rgb="FFFDE2E1"/>
        </patternFill>
      </fill>
    </dxf>
    <dxf>
      <fill>
        <patternFill patternType="solid">
          <bgColor rgb="FFFDE2E1"/>
        </patternFill>
      </fill>
    </dxf>
    <dxf>
      <fill>
        <patternFill patternType="solid">
          <bgColor rgb="FFFDE2E1"/>
        </patternFill>
      </fill>
    </dxf>
    <dxf>
      <font>
        <color rgb="FFB42318"/>
      </font>
      <fill>
        <patternFill patternType="solid">
          <bgColor rgb="FFFDE2E1"/>
        </patternFill>
      </fill>
    </dxf>
    <dxf>
      <fill>
        <patternFill patternType="solid">
          <bgColor rgb="FFFFF4D6"/>
        </patternFill>
      </fill>
    </dxf>
    <dxf>
      <fill>
        <patternFill patternType="solid">
          <bgColor rgb="FFFFF4D6"/>
        </patternFill>
      </fill>
    </dxf>
    <dxf>
      <fill>
        <patternFill patternType="solid">
          <bgColor rgb="FFFDE2E1"/>
        </patternFill>
      </fill>
    </dxf>
    <dxf>
      <fill>
        <patternFill patternType="solid">
          <bgColor rgb="FFFFF4D6"/>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0B7F74"/>
      </font>
      <fill>
        <patternFill patternType="solid">
          <bgColor rgb="FF9FE3D9"/>
        </patternFill>
      </fill>
    </dxf>
    <dxf>
      <font>
        <color rgb="FFB42318"/>
      </font>
      <fill>
        <patternFill patternType="solid">
          <bgColor rgb="FFF9B4AE"/>
        </patternFill>
      </fill>
    </dxf>
    <dxf>
      <font>
        <color rgb="FFB42318"/>
      </font>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12000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4" max="4" width="15" customWidth="1"/>
    <col min="5" max="5" width="11" customWidth="1"/>
    <col min="6" max="7" width="12" customWidth="1"/>
    <col min="8" max="8" width="8" customWidth="1"/>
    <col min="9" max="10" width="12" customWidth="1"/>
    <col min="11" max="11" width="8" customWidth="1"/>
    <col min="12" max="13" width="12" customWidth="1"/>
    <col min="14" max="14" width="8" customWidth="1"/>
    <col min="15" max="17" width="10" customWidth="1"/>
    <col min="18" max="18" width="16" customWidth="1"/>
    <col min="19" max="19" width="10" customWidth="1"/>
    <col min="20" max="20" width="12" customWidth="1"/>
  </cols>
  <sheetData>
    <row r="1" ht="34" customHeight="1" spans="2:2" x14ac:dyDescent="0.25">
      <c r="B1" s="1" t="s">
        <v>0</v>
      </c>
    </row>
    <row r="2" ht="18" customHeight="1" spans="2:2" x14ac:dyDescent="0.25">
      <c r="B2" s="2" t="s">
        <v>1</v>
      </c>
    </row>
    <row r="3" ht="16" customHeight="1" spans="2:2" x14ac:dyDescent="0.25">
      <c r="B3" s="3" t="s">
        <v>2</v>
      </c>
    </row>
    <row r="4" spans="1:20" x14ac:dyDescent="0.25">
      <c r="A4" s="4"/>
      <c r="B4" s="4"/>
      <c r="C4" s="4"/>
      <c r="D4" s="4"/>
      <c r="E4" s="4"/>
      <c r="F4" s="4"/>
      <c r="G4" s="4"/>
      <c r="H4" s="4"/>
      <c r="I4" s="4"/>
      <c r="J4" s="4"/>
      <c r="K4" s="4"/>
      <c r="L4" s="4"/>
      <c r="M4" s="4"/>
      <c r="N4" s="4"/>
      <c r="O4" s="4"/>
      <c r="P4" s="4"/>
      <c r="Q4" s="4"/>
      <c r="R4" s="4"/>
      <c r="S4" s="4"/>
      <c r="T4" s="4"/>
    </row>
    <row r="5" ht="30" customHeight="1" spans="1:20"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c r="T5" s="5" t="s">
        <v>22</v>
      </c>
    </row>
    <row r="6" ht="18" customHeight="1" spans="1:20" x14ac:dyDescent="0.25">
      <c r="A6" s="6">
        <v>1</v>
      </c>
      <c r="B6" s="7" t="s">
        <v>23</v>
      </c>
      <c r="C6" s="7" t="s">
        <v>24</v>
      </c>
      <c r="D6" s="7" t="s">
        <v>25</v>
      </c>
      <c r="E6" s="8">
        <v>20</v>
      </c>
      <c r="F6" s="9">
        <v>46573</v>
      </c>
      <c r="G6" s="9">
        <v>46584</v>
      </c>
      <c r="H6" s="8">
        <v>10</v>
      </c>
      <c r="I6" s="9">
        <v>46748</v>
      </c>
      <c r="J6" s="9">
        <v>46752</v>
      </c>
      <c r="K6" s="8">
        <v>5</v>
      </c>
      <c r="L6" s="10"/>
      <c r="M6" s="10"/>
      <c r="N6" s="11"/>
      <c r="O6" s="12">
        <f>IF(C6="","",N(H6)+N(K6)+N(N6))</f>
      </c>
      <c r="P6" s="12">
        <f>IF(C6="","",N(E6)-N(O6))</f>
      </c>
      <c r="Q6" s="13">
        <f>IF(OR(C6="",N(O6)=0),"",IF(MAX(N(H6),N(K6),N(N6))&gt;=10,"Uygun","Kontrol"))</f>
      </c>
      <c r="R6" s="7" t="s">
        <v>26</v>
      </c>
      <c r="S6" s="14" t="s">
        <v>27</v>
      </c>
      <c r="T6" s="14" t="s">
        <v>28</v>
      </c>
    </row>
    <row r="7" ht="18" customHeight="1" spans="1:20" x14ac:dyDescent="0.25">
      <c r="A7" s="6">
        <v>2</v>
      </c>
      <c r="B7" s="7" t="s">
        <v>29</v>
      </c>
      <c r="C7" s="7" t="s">
        <v>30</v>
      </c>
      <c r="D7" s="7" t="s">
        <v>25</v>
      </c>
      <c r="E7" s="8">
        <v>14</v>
      </c>
      <c r="F7" s="9">
        <v>46496</v>
      </c>
      <c r="G7" s="9">
        <v>46499</v>
      </c>
      <c r="H7" s="8">
        <v>4</v>
      </c>
      <c r="I7" s="9">
        <v>46580</v>
      </c>
      <c r="J7" s="9">
        <v>46591</v>
      </c>
      <c r="K7" s="8">
        <v>10</v>
      </c>
      <c r="L7" s="10"/>
      <c r="M7" s="10"/>
      <c r="N7" s="11"/>
      <c r="O7" s="12">
        <f>IF(C7="","",N(H7)+N(K7)+N(N7))</f>
      </c>
      <c r="P7" s="12">
        <f>IF(C7="","",N(E7)-N(O7))</f>
      </c>
      <c r="Q7" s="13">
        <f>IF(OR(C7="",N(O7)=0),"",IF(MAX(N(H7),N(K7),N(N7))&gt;=10,"Uygun","Kontrol"))</f>
      </c>
      <c r="R7" s="7" t="s">
        <v>31</v>
      </c>
      <c r="S7" s="14" t="s">
        <v>27</v>
      </c>
      <c r="T7" s="14" t="s">
        <v>28</v>
      </c>
    </row>
    <row r="8" ht="18" customHeight="1" spans="1:20" x14ac:dyDescent="0.25">
      <c r="A8" s="6">
        <v>3</v>
      </c>
      <c r="B8" s="7" t="s">
        <v>32</v>
      </c>
      <c r="C8" s="7" t="s">
        <v>33</v>
      </c>
      <c r="D8" s="7" t="s">
        <v>34</v>
      </c>
      <c r="E8" s="8">
        <v>26</v>
      </c>
      <c r="F8" s="9">
        <v>46580</v>
      </c>
      <c r="G8" s="9">
        <v>46598</v>
      </c>
      <c r="H8" s="8">
        <v>15</v>
      </c>
      <c r="I8" s="9">
        <v>46706</v>
      </c>
      <c r="J8" s="9">
        <v>46717</v>
      </c>
      <c r="K8" s="8">
        <v>10</v>
      </c>
      <c r="L8" s="10"/>
      <c r="M8" s="10"/>
      <c r="N8" s="11"/>
      <c r="O8" s="12">
        <f>IF(C8="","",N(H8)+N(K8)+N(N8))</f>
      </c>
      <c r="P8" s="12">
        <f>IF(C8="","",N(E8)-N(O8))</f>
      </c>
      <c r="Q8" s="13">
        <f>IF(OR(C8="",N(O8)=0),"",IF(MAX(N(H8),N(K8),N(N8))&gt;=10,"Uygun","Kontrol"))</f>
      </c>
      <c r="R8" s="7" t="s">
        <v>24</v>
      </c>
      <c r="S8" s="14" t="s">
        <v>27</v>
      </c>
      <c r="T8" s="14" t="s">
        <v>35</v>
      </c>
    </row>
    <row r="9" ht="18" customHeight="1" spans="1:20" x14ac:dyDescent="0.25">
      <c r="A9" s="6">
        <v>4</v>
      </c>
      <c r="B9" s="7" t="s">
        <v>36</v>
      </c>
      <c r="C9" s="7" t="s">
        <v>31</v>
      </c>
      <c r="D9" s="7" t="s">
        <v>37</v>
      </c>
      <c r="E9" s="8">
        <v>20</v>
      </c>
      <c r="F9" s="9">
        <v>46426</v>
      </c>
      <c r="G9" s="9">
        <v>46430</v>
      </c>
      <c r="H9" s="8">
        <v>5</v>
      </c>
      <c r="I9" s="9">
        <v>46615</v>
      </c>
      <c r="J9" s="9">
        <v>46626</v>
      </c>
      <c r="K9" s="8">
        <v>10</v>
      </c>
      <c r="L9" s="10"/>
      <c r="M9" s="10"/>
      <c r="N9" s="11"/>
      <c r="O9" s="12">
        <f>IF(C9="","",N(H9)+N(K9)+N(N9))</f>
      </c>
      <c r="P9" s="12">
        <f>IF(C9="","",N(E9)-N(O9))</f>
      </c>
      <c r="Q9" s="13">
        <f>IF(OR(C9="",N(O9)=0),"",IF(MAX(N(H9),N(K9),N(N9))&gt;=10,"Uygun","Kontrol"))</f>
      </c>
      <c r="R9" s="7" t="s">
        <v>30</v>
      </c>
      <c r="S9" s="14" t="s">
        <v>27</v>
      </c>
      <c r="T9" s="14" t="s">
        <v>38</v>
      </c>
    </row>
    <row r="10" ht="18" customHeight="1" spans="1:20" x14ac:dyDescent="0.25">
      <c r="A10" s="6">
        <v>5</v>
      </c>
      <c r="B10" s="7" t="s">
        <v>39</v>
      </c>
      <c r="C10" s="7" t="s">
        <v>26</v>
      </c>
      <c r="D10" s="7" t="s">
        <v>37</v>
      </c>
      <c r="E10" s="8">
        <v>14</v>
      </c>
      <c r="F10" s="9">
        <v>46524</v>
      </c>
      <c r="G10" s="9">
        <v>46528</v>
      </c>
      <c r="H10" s="8">
        <v>5</v>
      </c>
      <c r="I10" s="9">
        <v>46636</v>
      </c>
      <c r="J10" s="9">
        <v>46639</v>
      </c>
      <c r="K10" s="8">
        <v>4</v>
      </c>
      <c r="L10" s="10"/>
      <c r="M10" s="10"/>
      <c r="N10" s="11"/>
      <c r="O10" s="12">
        <f>IF(C10="","",N(H10)+N(K10)+N(N10))</f>
      </c>
      <c r="P10" s="12">
        <f>IF(C10="","",N(E10)-N(O10))</f>
      </c>
      <c r="Q10" s="13">
        <f>IF(OR(C10="",N(O10)=0),"",IF(MAX(N(H10),N(K10),N(N10))&gt;=10,"Uygun","Kontrol"))</f>
      </c>
      <c r="R10" s="7" t="s">
        <v>24</v>
      </c>
      <c r="S10" s="14" t="s">
        <v>40</v>
      </c>
      <c r="T10" s="14" t="s">
        <v>38</v>
      </c>
    </row>
    <row r="11" ht="18" customHeight="1" spans="1:20" x14ac:dyDescent="0.25">
      <c r="A11" s="6">
        <v>6</v>
      </c>
      <c r="B11" s="15"/>
      <c r="C11" s="15"/>
      <c r="D11" s="15"/>
      <c r="E11" s="11"/>
      <c r="F11" s="10"/>
      <c r="G11" s="10"/>
      <c r="H11" s="11"/>
      <c r="I11" s="10"/>
      <c r="J11" s="10"/>
      <c r="K11" s="11"/>
      <c r="L11" s="10"/>
      <c r="M11" s="10"/>
      <c r="N11" s="11"/>
      <c r="O11" s="12">
        <f>IF(C11="","",N(H11)+N(K11)+N(N11))</f>
      </c>
      <c r="P11" s="12">
        <f>IF(C11="","",N(E11)-N(O11))</f>
      </c>
      <c r="Q11" s="13">
        <f>IF(OR(C11="",N(O11)=0),"",IF(MAX(N(H11),N(K11),N(N11))&gt;=10,"Uygun","Kontrol"))</f>
      </c>
      <c r="R11" s="15"/>
      <c r="S11" s="16"/>
      <c r="T11" s="16"/>
    </row>
    <row r="12" ht="18" customHeight="1" spans="1:20" x14ac:dyDescent="0.25">
      <c r="A12" s="6">
        <v>7</v>
      </c>
      <c r="B12" s="15"/>
      <c r="C12" s="15"/>
      <c r="D12" s="15"/>
      <c r="E12" s="11"/>
      <c r="F12" s="10"/>
      <c r="G12" s="10"/>
      <c r="H12" s="11"/>
      <c r="I12" s="10"/>
      <c r="J12" s="10"/>
      <c r="K12" s="11"/>
      <c r="L12" s="10"/>
      <c r="M12" s="10"/>
      <c r="N12" s="11"/>
      <c r="O12" s="12">
        <f>IF(C12="","",N(H12)+N(K12)+N(N12))</f>
      </c>
      <c r="P12" s="12">
        <f>IF(C12="","",N(E12)-N(O12))</f>
      </c>
      <c r="Q12" s="13">
        <f>IF(OR(C12="",N(O12)=0),"",IF(MAX(N(H12),N(K12),N(N12))&gt;=10,"Uygun","Kontrol"))</f>
      </c>
      <c r="R12" s="15"/>
      <c r="S12" s="16"/>
      <c r="T12" s="16"/>
    </row>
    <row r="13" ht="18" customHeight="1" spans="1:20" x14ac:dyDescent="0.25">
      <c r="A13" s="6">
        <v>8</v>
      </c>
      <c r="B13" s="15"/>
      <c r="C13" s="15"/>
      <c r="D13" s="15"/>
      <c r="E13" s="11"/>
      <c r="F13" s="10"/>
      <c r="G13" s="10"/>
      <c r="H13" s="11"/>
      <c r="I13" s="10"/>
      <c r="J13" s="10"/>
      <c r="K13" s="11"/>
      <c r="L13" s="10"/>
      <c r="M13" s="10"/>
      <c r="N13" s="11"/>
      <c r="O13" s="12">
        <f>IF(C13="","",N(H13)+N(K13)+N(N13))</f>
      </c>
      <c r="P13" s="12">
        <f>IF(C13="","",N(E13)-N(O13))</f>
      </c>
      <c r="Q13" s="13">
        <f>IF(OR(C13="",N(O13)=0),"",IF(MAX(N(H13),N(K13),N(N13))&gt;=10,"Uygun","Kontrol"))</f>
      </c>
      <c r="R13" s="15"/>
      <c r="S13" s="16"/>
      <c r="T13" s="16"/>
    </row>
    <row r="14" ht="18" customHeight="1" spans="1:20" x14ac:dyDescent="0.25">
      <c r="A14" s="6">
        <v>9</v>
      </c>
      <c r="B14" s="15"/>
      <c r="C14" s="15"/>
      <c r="D14" s="15"/>
      <c r="E14" s="11"/>
      <c r="F14" s="10"/>
      <c r="G14" s="10"/>
      <c r="H14" s="11"/>
      <c r="I14" s="10"/>
      <c r="J14" s="10"/>
      <c r="K14" s="11"/>
      <c r="L14" s="10"/>
      <c r="M14" s="10"/>
      <c r="N14" s="11"/>
      <c r="O14" s="12">
        <f>IF(C14="","",N(H14)+N(K14)+N(N14))</f>
      </c>
      <c r="P14" s="12">
        <f>IF(C14="","",N(E14)-N(O14))</f>
      </c>
      <c r="Q14" s="13">
        <f>IF(OR(C14="",N(O14)=0),"",IF(MAX(N(H14),N(K14),N(N14))&gt;=10,"Uygun","Kontrol"))</f>
      </c>
      <c r="R14" s="15"/>
      <c r="S14" s="16"/>
      <c r="T14" s="16"/>
    </row>
    <row r="15" ht="18" customHeight="1" spans="1:20" x14ac:dyDescent="0.25">
      <c r="A15" s="6">
        <v>10</v>
      </c>
      <c r="B15" s="15"/>
      <c r="C15" s="15"/>
      <c r="D15" s="15"/>
      <c r="E15" s="11"/>
      <c r="F15" s="10"/>
      <c r="G15" s="10"/>
      <c r="H15" s="11"/>
      <c r="I15" s="10"/>
      <c r="J15" s="10"/>
      <c r="K15" s="11"/>
      <c r="L15" s="10"/>
      <c r="M15" s="10"/>
      <c r="N15" s="11"/>
      <c r="O15" s="12">
        <f>IF(C15="","",N(H15)+N(K15)+N(N15))</f>
      </c>
      <c r="P15" s="12">
        <f>IF(C15="","",N(E15)-N(O15))</f>
      </c>
      <c r="Q15" s="13">
        <f>IF(OR(C15="",N(O15)=0),"",IF(MAX(N(H15),N(K15),N(N15))&gt;=10,"Uygun","Kontrol"))</f>
      </c>
      <c r="R15" s="15"/>
      <c r="S15" s="16"/>
      <c r="T15" s="16"/>
    </row>
    <row r="16" ht="18" customHeight="1" spans="1:20" x14ac:dyDescent="0.25">
      <c r="A16" s="6">
        <v>11</v>
      </c>
      <c r="B16" s="15"/>
      <c r="C16" s="15"/>
      <c r="D16" s="15"/>
      <c r="E16" s="11"/>
      <c r="F16" s="10"/>
      <c r="G16" s="10"/>
      <c r="H16" s="11"/>
      <c r="I16" s="10"/>
      <c r="J16" s="10"/>
      <c r="K16" s="11"/>
      <c r="L16" s="10"/>
      <c r="M16" s="10"/>
      <c r="N16" s="11"/>
      <c r="O16" s="12">
        <f>IF(C16="","",N(H16)+N(K16)+N(N16))</f>
      </c>
      <c r="P16" s="12">
        <f>IF(C16="","",N(E16)-N(O16))</f>
      </c>
      <c r="Q16" s="13">
        <f>IF(OR(C16="",N(O16)=0),"",IF(MAX(N(H16),N(K16),N(N16))&gt;=10,"Uygun","Kontrol"))</f>
      </c>
      <c r="R16" s="15"/>
      <c r="S16" s="16"/>
      <c r="T16" s="16"/>
    </row>
    <row r="17" ht="18" customHeight="1" spans="1:20" x14ac:dyDescent="0.25">
      <c r="A17" s="6">
        <v>12</v>
      </c>
      <c r="B17" s="15"/>
      <c r="C17" s="15"/>
      <c r="D17" s="15"/>
      <c r="E17" s="11"/>
      <c r="F17" s="10"/>
      <c r="G17" s="10"/>
      <c r="H17" s="11"/>
      <c r="I17" s="10"/>
      <c r="J17" s="10"/>
      <c r="K17" s="11"/>
      <c r="L17" s="10"/>
      <c r="M17" s="10"/>
      <c r="N17" s="11"/>
      <c r="O17" s="12">
        <f>IF(C17="","",N(H17)+N(K17)+N(N17))</f>
      </c>
      <c r="P17" s="12">
        <f>IF(C17="","",N(E17)-N(O17))</f>
      </c>
      <c r="Q17" s="13">
        <f>IF(OR(C17="",N(O17)=0),"",IF(MAX(N(H17),N(K17),N(N17))&gt;=10,"Uygun","Kontrol"))</f>
      </c>
      <c r="R17" s="15"/>
      <c r="S17" s="16"/>
      <c r="T17" s="16"/>
    </row>
    <row r="18" ht="18" customHeight="1" spans="1:20" x14ac:dyDescent="0.25">
      <c r="A18" s="6">
        <v>13</v>
      </c>
      <c r="B18" s="15"/>
      <c r="C18" s="15"/>
      <c r="D18" s="15"/>
      <c r="E18" s="11"/>
      <c r="F18" s="10"/>
      <c r="G18" s="10"/>
      <c r="H18" s="11"/>
      <c r="I18" s="10"/>
      <c r="J18" s="10"/>
      <c r="K18" s="11"/>
      <c r="L18" s="10"/>
      <c r="M18" s="10"/>
      <c r="N18" s="11"/>
      <c r="O18" s="12">
        <f>IF(C18="","",N(H18)+N(K18)+N(N18))</f>
      </c>
      <c r="P18" s="12">
        <f>IF(C18="","",N(E18)-N(O18))</f>
      </c>
      <c r="Q18" s="13">
        <f>IF(OR(C18="",N(O18)=0),"",IF(MAX(N(H18),N(K18),N(N18))&gt;=10,"Uygun","Kontrol"))</f>
      </c>
      <c r="R18" s="15"/>
      <c r="S18" s="16"/>
      <c r="T18" s="16"/>
    </row>
    <row r="19" ht="18" customHeight="1" spans="1:20" x14ac:dyDescent="0.25">
      <c r="A19" s="6">
        <v>14</v>
      </c>
      <c r="B19" s="15"/>
      <c r="C19" s="15"/>
      <c r="D19" s="15"/>
      <c r="E19" s="11"/>
      <c r="F19" s="10"/>
      <c r="G19" s="10"/>
      <c r="H19" s="11"/>
      <c r="I19" s="10"/>
      <c r="J19" s="10"/>
      <c r="K19" s="11"/>
      <c r="L19" s="10"/>
      <c r="M19" s="10"/>
      <c r="N19" s="11"/>
      <c r="O19" s="12">
        <f>IF(C19="","",N(H19)+N(K19)+N(N19))</f>
      </c>
      <c r="P19" s="12">
        <f>IF(C19="","",N(E19)-N(O19))</f>
      </c>
      <c r="Q19" s="13">
        <f>IF(OR(C19="",N(O19)=0),"",IF(MAX(N(H19),N(K19),N(N19))&gt;=10,"Uygun","Kontrol"))</f>
      </c>
      <c r="R19" s="15"/>
      <c r="S19" s="16"/>
      <c r="T19" s="16"/>
    </row>
    <row r="20" ht="18" customHeight="1" spans="1:20" x14ac:dyDescent="0.25">
      <c r="A20" s="6">
        <v>15</v>
      </c>
      <c r="B20" s="15"/>
      <c r="C20" s="15"/>
      <c r="D20" s="15"/>
      <c r="E20" s="11"/>
      <c r="F20" s="10"/>
      <c r="G20" s="10"/>
      <c r="H20" s="11"/>
      <c r="I20" s="10"/>
      <c r="J20" s="10"/>
      <c r="K20" s="11"/>
      <c r="L20" s="10"/>
      <c r="M20" s="10"/>
      <c r="N20" s="11"/>
      <c r="O20" s="12">
        <f>IF(C20="","",N(H20)+N(K20)+N(N20))</f>
      </c>
      <c r="P20" s="12">
        <f>IF(C20="","",N(E20)-N(O20))</f>
      </c>
      <c r="Q20" s="13">
        <f>IF(OR(C20="",N(O20)=0),"",IF(MAX(N(H20),N(K20),N(N20))&gt;=10,"Uygun","Kontrol"))</f>
      </c>
      <c r="R20" s="15"/>
      <c r="S20" s="16"/>
      <c r="T20" s="16"/>
    </row>
    <row r="21" ht="18" customHeight="1" spans="1:20" x14ac:dyDescent="0.25">
      <c r="A21" s="6">
        <v>16</v>
      </c>
      <c r="B21" s="15"/>
      <c r="C21" s="15"/>
      <c r="D21" s="15"/>
      <c r="E21" s="11"/>
      <c r="F21" s="10"/>
      <c r="G21" s="10"/>
      <c r="H21" s="11"/>
      <c r="I21" s="10"/>
      <c r="J21" s="10"/>
      <c r="K21" s="11"/>
      <c r="L21" s="10"/>
      <c r="M21" s="10"/>
      <c r="N21" s="11"/>
      <c r="O21" s="12">
        <f>IF(C21="","",N(H21)+N(K21)+N(N21))</f>
      </c>
      <c r="P21" s="12">
        <f>IF(C21="","",N(E21)-N(O21))</f>
      </c>
      <c r="Q21" s="13">
        <f>IF(OR(C21="",N(O21)=0),"",IF(MAX(N(H21),N(K21),N(N21))&gt;=10,"Uygun","Kontrol"))</f>
      </c>
      <c r="R21" s="15"/>
      <c r="S21" s="16"/>
      <c r="T21" s="16"/>
    </row>
    <row r="22" ht="18" customHeight="1" spans="1:20" x14ac:dyDescent="0.25">
      <c r="A22" s="6">
        <v>17</v>
      </c>
      <c r="B22" s="15"/>
      <c r="C22" s="15"/>
      <c r="D22" s="15"/>
      <c r="E22" s="11"/>
      <c r="F22" s="10"/>
      <c r="G22" s="10"/>
      <c r="H22" s="11"/>
      <c r="I22" s="10"/>
      <c r="J22" s="10"/>
      <c r="K22" s="11"/>
      <c r="L22" s="10"/>
      <c r="M22" s="10"/>
      <c r="N22" s="11"/>
      <c r="O22" s="12">
        <f>IF(C22="","",N(H22)+N(K22)+N(N22))</f>
      </c>
      <c r="P22" s="12">
        <f>IF(C22="","",N(E22)-N(O22))</f>
      </c>
      <c r="Q22" s="13">
        <f>IF(OR(C22="",N(O22)=0),"",IF(MAX(N(H22),N(K22),N(N22))&gt;=10,"Uygun","Kontrol"))</f>
      </c>
      <c r="R22" s="15"/>
      <c r="S22" s="16"/>
      <c r="T22" s="16"/>
    </row>
    <row r="23" ht="18" customHeight="1" spans="1:20" x14ac:dyDescent="0.25">
      <c r="A23" s="6">
        <v>18</v>
      </c>
      <c r="B23" s="15"/>
      <c r="C23" s="15"/>
      <c r="D23" s="15"/>
      <c r="E23" s="11"/>
      <c r="F23" s="10"/>
      <c r="G23" s="10"/>
      <c r="H23" s="11"/>
      <c r="I23" s="10"/>
      <c r="J23" s="10"/>
      <c r="K23" s="11"/>
      <c r="L23" s="10"/>
      <c r="M23" s="10"/>
      <c r="N23" s="11"/>
      <c r="O23" s="12">
        <f>IF(C23="","",N(H23)+N(K23)+N(N23))</f>
      </c>
      <c r="P23" s="12">
        <f>IF(C23="","",N(E23)-N(O23))</f>
      </c>
      <c r="Q23" s="13">
        <f>IF(OR(C23="",N(O23)=0),"",IF(MAX(N(H23),N(K23),N(N23))&gt;=10,"Uygun","Kontrol"))</f>
      </c>
      <c r="R23" s="15"/>
      <c r="S23" s="16"/>
      <c r="T23" s="16"/>
    </row>
    <row r="24" ht="18" customHeight="1" spans="1:20" x14ac:dyDescent="0.25">
      <c r="A24" s="6">
        <v>19</v>
      </c>
      <c r="B24" s="15"/>
      <c r="C24" s="15"/>
      <c r="D24" s="15"/>
      <c r="E24" s="11"/>
      <c r="F24" s="10"/>
      <c r="G24" s="10"/>
      <c r="H24" s="11"/>
      <c r="I24" s="10"/>
      <c r="J24" s="10"/>
      <c r="K24" s="11"/>
      <c r="L24" s="10"/>
      <c r="M24" s="10"/>
      <c r="N24" s="11"/>
      <c r="O24" s="12">
        <f>IF(C24="","",N(H24)+N(K24)+N(N24))</f>
      </c>
      <c r="P24" s="12">
        <f>IF(C24="","",N(E24)-N(O24))</f>
      </c>
      <c r="Q24" s="13">
        <f>IF(OR(C24="",N(O24)=0),"",IF(MAX(N(H24),N(K24),N(N24))&gt;=10,"Uygun","Kontrol"))</f>
      </c>
      <c r="R24" s="15"/>
      <c r="S24" s="16"/>
      <c r="T24" s="16"/>
    </row>
    <row r="25" ht="18" customHeight="1" spans="1:20" x14ac:dyDescent="0.25">
      <c r="A25" s="6">
        <v>20</v>
      </c>
      <c r="B25" s="15"/>
      <c r="C25" s="15"/>
      <c r="D25" s="15"/>
      <c r="E25" s="11"/>
      <c r="F25" s="10"/>
      <c r="G25" s="10"/>
      <c r="H25" s="11"/>
      <c r="I25" s="10"/>
      <c r="J25" s="10"/>
      <c r="K25" s="11"/>
      <c r="L25" s="10"/>
      <c r="M25" s="10"/>
      <c r="N25" s="11"/>
      <c r="O25" s="12">
        <f>IF(C25="","",N(H25)+N(K25)+N(N25))</f>
      </c>
      <c r="P25" s="12">
        <f>IF(C25="","",N(E25)-N(O25))</f>
      </c>
      <c r="Q25" s="13">
        <f>IF(OR(C25="",N(O25)=0),"",IF(MAX(N(H25),N(K25),N(N25))&gt;=10,"Uygun","Kontrol"))</f>
      </c>
      <c r="R25" s="15"/>
      <c r="S25" s="16"/>
      <c r="T25" s="16"/>
    </row>
    <row r="26" ht="18" customHeight="1" spans="1:20" x14ac:dyDescent="0.25">
      <c r="A26" s="6">
        <v>21</v>
      </c>
      <c r="B26" s="15"/>
      <c r="C26" s="15"/>
      <c r="D26" s="15"/>
      <c r="E26" s="11"/>
      <c r="F26" s="10"/>
      <c r="G26" s="10"/>
      <c r="H26" s="11"/>
      <c r="I26" s="10"/>
      <c r="J26" s="10"/>
      <c r="K26" s="11"/>
      <c r="L26" s="10"/>
      <c r="M26" s="10"/>
      <c r="N26" s="11"/>
      <c r="O26" s="12">
        <f>IF(C26="","",N(H26)+N(K26)+N(N26))</f>
      </c>
      <c r="P26" s="12">
        <f>IF(C26="","",N(E26)-N(O26))</f>
      </c>
      <c r="Q26" s="13">
        <f>IF(OR(C26="",N(O26)=0),"",IF(MAX(N(H26),N(K26),N(N26))&gt;=10,"Uygun","Kontrol"))</f>
      </c>
      <c r="R26" s="15"/>
      <c r="S26" s="16"/>
      <c r="T26" s="16"/>
    </row>
    <row r="27" ht="18" customHeight="1" spans="1:20" x14ac:dyDescent="0.25">
      <c r="A27" s="6">
        <v>22</v>
      </c>
      <c r="B27" s="15"/>
      <c r="C27" s="15"/>
      <c r="D27" s="15"/>
      <c r="E27" s="11"/>
      <c r="F27" s="10"/>
      <c r="G27" s="10"/>
      <c r="H27" s="11"/>
      <c r="I27" s="10"/>
      <c r="J27" s="10"/>
      <c r="K27" s="11"/>
      <c r="L27" s="10"/>
      <c r="M27" s="10"/>
      <c r="N27" s="11"/>
      <c r="O27" s="12">
        <f>IF(C27="","",N(H27)+N(K27)+N(N27))</f>
      </c>
      <c r="P27" s="12">
        <f>IF(C27="","",N(E27)-N(O27))</f>
      </c>
      <c r="Q27" s="13">
        <f>IF(OR(C27="",N(O27)=0),"",IF(MAX(N(H27),N(K27),N(N27))&gt;=10,"Uygun","Kontrol"))</f>
      </c>
      <c r="R27" s="15"/>
      <c r="S27" s="16"/>
      <c r="T27" s="16"/>
    </row>
    <row r="28" ht="18" customHeight="1" spans="1:20" x14ac:dyDescent="0.25">
      <c r="A28" s="6">
        <v>23</v>
      </c>
      <c r="B28" s="15"/>
      <c r="C28" s="15"/>
      <c r="D28" s="15"/>
      <c r="E28" s="11"/>
      <c r="F28" s="10"/>
      <c r="G28" s="10"/>
      <c r="H28" s="11"/>
      <c r="I28" s="10"/>
      <c r="J28" s="10"/>
      <c r="K28" s="11"/>
      <c r="L28" s="10"/>
      <c r="M28" s="10"/>
      <c r="N28" s="11"/>
      <c r="O28" s="12">
        <f>IF(C28="","",N(H28)+N(K28)+N(N28))</f>
      </c>
      <c r="P28" s="12">
        <f>IF(C28="","",N(E28)-N(O28))</f>
      </c>
      <c r="Q28" s="13">
        <f>IF(OR(C28="",N(O28)=0),"",IF(MAX(N(H28),N(K28),N(N28))&gt;=10,"Uygun","Kontrol"))</f>
      </c>
      <c r="R28" s="15"/>
      <c r="S28" s="16"/>
      <c r="T28" s="16"/>
    </row>
    <row r="29" ht="18" customHeight="1" spans="1:20" x14ac:dyDescent="0.25">
      <c r="A29" s="6">
        <v>24</v>
      </c>
      <c r="B29" s="15"/>
      <c r="C29" s="15"/>
      <c r="D29" s="15"/>
      <c r="E29" s="11"/>
      <c r="F29" s="10"/>
      <c r="G29" s="10"/>
      <c r="H29" s="11"/>
      <c r="I29" s="10"/>
      <c r="J29" s="10"/>
      <c r="K29" s="11"/>
      <c r="L29" s="10"/>
      <c r="M29" s="10"/>
      <c r="N29" s="11"/>
      <c r="O29" s="12">
        <f>IF(C29="","",N(H29)+N(K29)+N(N29))</f>
      </c>
      <c r="P29" s="12">
        <f>IF(C29="","",N(E29)-N(O29))</f>
      </c>
      <c r="Q29" s="13">
        <f>IF(OR(C29="",N(O29)=0),"",IF(MAX(N(H29),N(K29),N(N29))&gt;=10,"Uygun","Kontrol"))</f>
      </c>
      <c r="R29" s="15"/>
      <c r="S29" s="16"/>
      <c r="T29" s="16"/>
    </row>
    <row r="30" ht="18" customHeight="1" spans="1:20" x14ac:dyDescent="0.25">
      <c r="A30" s="6">
        <v>25</v>
      </c>
      <c r="B30" s="15"/>
      <c r="C30" s="15"/>
      <c r="D30" s="15"/>
      <c r="E30" s="11"/>
      <c r="F30" s="10"/>
      <c r="G30" s="10"/>
      <c r="H30" s="11"/>
      <c r="I30" s="10"/>
      <c r="J30" s="10"/>
      <c r="K30" s="11"/>
      <c r="L30" s="10"/>
      <c r="M30" s="10"/>
      <c r="N30" s="11"/>
      <c r="O30" s="12">
        <f>IF(C30="","",N(H30)+N(K30)+N(N30))</f>
      </c>
      <c r="P30" s="12">
        <f>IF(C30="","",N(E30)-N(O30))</f>
      </c>
      <c r="Q30" s="13">
        <f>IF(OR(C30="",N(O30)=0),"",IF(MAX(N(H30),N(K30),N(N30))&gt;=10,"Uygun","Kontrol"))</f>
      </c>
      <c r="R30" s="15"/>
      <c r="S30" s="16"/>
      <c r="T30" s="16"/>
    </row>
    <row r="31" ht="18" customHeight="1" spans="1:20" x14ac:dyDescent="0.25">
      <c r="A31" s="6">
        <v>26</v>
      </c>
      <c r="B31" s="15"/>
      <c r="C31" s="15"/>
      <c r="D31" s="15"/>
      <c r="E31" s="11"/>
      <c r="F31" s="10"/>
      <c r="G31" s="10"/>
      <c r="H31" s="11"/>
      <c r="I31" s="10"/>
      <c r="J31" s="10"/>
      <c r="K31" s="11"/>
      <c r="L31" s="10"/>
      <c r="M31" s="10"/>
      <c r="N31" s="11"/>
      <c r="O31" s="12">
        <f>IF(C31="","",N(H31)+N(K31)+N(N31))</f>
      </c>
      <c r="P31" s="12">
        <f>IF(C31="","",N(E31)-N(O31))</f>
      </c>
      <c r="Q31" s="13">
        <f>IF(OR(C31="",N(O31)=0),"",IF(MAX(N(H31),N(K31),N(N31))&gt;=10,"Uygun","Kontrol"))</f>
      </c>
      <c r="R31" s="15"/>
      <c r="S31" s="16"/>
      <c r="T31" s="16"/>
    </row>
    <row r="32" ht="18" customHeight="1" spans="1:20" x14ac:dyDescent="0.25">
      <c r="A32" s="6">
        <v>27</v>
      </c>
      <c r="B32" s="15"/>
      <c r="C32" s="15"/>
      <c r="D32" s="15"/>
      <c r="E32" s="11"/>
      <c r="F32" s="10"/>
      <c r="G32" s="10"/>
      <c r="H32" s="11"/>
      <c r="I32" s="10"/>
      <c r="J32" s="10"/>
      <c r="K32" s="11"/>
      <c r="L32" s="10"/>
      <c r="M32" s="10"/>
      <c r="N32" s="11"/>
      <c r="O32" s="12">
        <f>IF(C32="","",N(H32)+N(K32)+N(N32))</f>
      </c>
      <c r="P32" s="12">
        <f>IF(C32="","",N(E32)-N(O32))</f>
      </c>
      <c r="Q32" s="13">
        <f>IF(OR(C32="",N(O32)=0),"",IF(MAX(N(H32),N(K32),N(N32))&gt;=10,"Uygun","Kontrol"))</f>
      </c>
      <c r="R32" s="15"/>
      <c r="S32" s="16"/>
      <c r="T32" s="16"/>
    </row>
    <row r="33" ht="18" customHeight="1" spans="1:20" x14ac:dyDescent="0.25">
      <c r="A33" s="6">
        <v>28</v>
      </c>
      <c r="B33" s="15"/>
      <c r="C33" s="15"/>
      <c r="D33" s="15"/>
      <c r="E33" s="11"/>
      <c r="F33" s="10"/>
      <c r="G33" s="10"/>
      <c r="H33" s="11"/>
      <c r="I33" s="10"/>
      <c r="J33" s="10"/>
      <c r="K33" s="11"/>
      <c r="L33" s="10"/>
      <c r="M33" s="10"/>
      <c r="N33" s="11"/>
      <c r="O33" s="12">
        <f>IF(C33="","",N(H33)+N(K33)+N(N33))</f>
      </c>
      <c r="P33" s="12">
        <f>IF(C33="","",N(E33)-N(O33))</f>
      </c>
      <c r="Q33" s="13">
        <f>IF(OR(C33="",N(O33)=0),"",IF(MAX(N(H33),N(K33),N(N33))&gt;=10,"Uygun","Kontrol"))</f>
      </c>
      <c r="R33" s="15"/>
      <c r="S33" s="16"/>
      <c r="T33" s="16"/>
    </row>
    <row r="34" ht="18" customHeight="1" spans="1:20" x14ac:dyDescent="0.25">
      <c r="A34" s="6">
        <v>29</v>
      </c>
      <c r="B34" s="15"/>
      <c r="C34" s="15"/>
      <c r="D34" s="15"/>
      <c r="E34" s="11"/>
      <c r="F34" s="10"/>
      <c r="G34" s="10"/>
      <c r="H34" s="11"/>
      <c r="I34" s="10"/>
      <c r="J34" s="10"/>
      <c r="K34" s="11"/>
      <c r="L34" s="10"/>
      <c r="M34" s="10"/>
      <c r="N34" s="11"/>
      <c r="O34" s="12">
        <f>IF(C34="","",N(H34)+N(K34)+N(N34))</f>
      </c>
      <c r="P34" s="12">
        <f>IF(C34="","",N(E34)-N(O34))</f>
      </c>
      <c r="Q34" s="13">
        <f>IF(OR(C34="",N(O34)=0),"",IF(MAX(N(H34),N(K34),N(N34))&gt;=10,"Uygun","Kontrol"))</f>
      </c>
      <c r="R34" s="15"/>
      <c r="S34" s="16"/>
      <c r="T34" s="16"/>
    </row>
    <row r="35" ht="18" customHeight="1" spans="1:20" x14ac:dyDescent="0.25">
      <c r="A35" s="6">
        <v>30</v>
      </c>
      <c r="B35" s="15"/>
      <c r="C35" s="15"/>
      <c r="D35" s="15"/>
      <c r="E35" s="11"/>
      <c r="F35" s="10"/>
      <c r="G35" s="10"/>
      <c r="H35" s="11"/>
      <c r="I35" s="10"/>
      <c r="J35" s="10"/>
      <c r="K35" s="11"/>
      <c r="L35" s="10"/>
      <c r="M35" s="10"/>
      <c r="N35" s="11"/>
      <c r="O35" s="12">
        <f>IF(C35="","",N(H35)+N(K35)+N(N35))</f>
      </c>
      <c r="P35" s="12">
        <f>IF(C35="","",N(E35)-N(O35))</f>
      </c>
      <c r="Q35" s="13">
        <f>IF(OR(C35="",N(O35)=0),"",IF(MAX(N(H35),N(K35),N(N35))&gt;=10,"Uygun","Kontrol"))</f>
      </c>
      <c r="R35" s="15"/>
      <c r="S35" s="16"/>
      <c r="T35" s="16"/>
    </row>
    <row r="36" ht="22" customHeight="1" spans="1:20" x14ac:dyDescent="0.25">
      <c r="A36" s="17" t="s">
        <v>41</v>
      </c>
      <c r="B36" s="17"/>
      <c r="C36" s="17"/>
      <c r="D36" s="17"/>
      <c r="E36" s="18">
        <f>SUM(E6:E35)</f>
      </c>
      <c r="F36" s="19"/>
      <c r="G36" s="19"/>
      <c r="H36" s="18"/>
      <c r="I36" s="19"/>
      <c r="J36" s="19"/>
      <c r="K36" s="18"/>
      <c r="L36" s="19"/>
      <c r="M36" s="19"/>
      <c r="N36" s="18"/>
      <c r="O36" s="18">
        <f>SUM(O6:O35)</f>
      </c>
      <c r="P36" s="18">
        <f>SUM(P6:P35)</f>
      </c>
      <c r="Q36" s="17"/>
      <c r="R36" s="17"/>
      <c r="S36" s="17"/>
      <c r="T36" s="17"/>
    </row>
  </sheetData>
  <autoFilter ref="A5:T5"/>
  <conditionalFormatting sqref="G6:G35">
    <cfRule type="expression" dxfId="0" priority="1">
      <formula>AND(G6&lt;&gt;"",G6&lt;F6)</formula>
    </cfRule>
  </conditionalFormatting>
  <conditionalFormatting sqref="J6:J35">
    <cfRule type="expression" dxfId="1" priority="1">
      <formula>AND(J6&lt;&gt;"",J6&lt;I6)</formula>
    </cfRule>
  </conditionalFormatting>
  <conditionalFormatting sqref="M6:M35">
    <cfRule type="expression" dxfId="2" priority="1">
      <formula>AND(M6&lt;&gt;"",M6&lt;L6)</formula>
    </cfRule>
  </conditionalFormatting>
  <conditionalFormatting sqref="P6:P35">
    <cfRule type="cellIs" dxfId="3" priority="1" operator="lessThan">
      <formula>0</formula>
    </cfRule>
  </conditionalFormatting>
  <conditionalFormatting sqref="P6:P35">
    <cfRule type="cellIs" dxfId="4" priority="1" operator="greaterThan">
      <formula>0</formula>
    </cfRule>
  </conditionalFormatting>
  <conditionalFormatting sqref="Q6:Q35">
    <cfRule type="cellIs" dxfId="5" priority="1" operator="equal">
      <formula>"Kontrol"</formula>
    </cfRule>
  </conditionalFormatting>
  <conditionalFormatting sqref="T6:T35">
    <cfRule type="cellIs" dxfId="6" priority="1" operator="equal">
      <formula>"Revize"</formula>
    </cfRule>
  </conditionalFormatting>
  <conditionalFormatting sqref="T6:T35">
    <cfRule type="cellIs" dxfId="7" priority="1" operator="equal">
      <formula>"Beklemede"</formula>
    </cfRule>
  </conditionalFormatting>
  <dataValidations count="10">
    <dataValidation type="date" operator="greaterThan" allowBlank="1" showErrorMessage="1" error="Geçerli bir tarih girin (GG.AA.YYYY)." sqref="F10:G35">
      <formula1>18264</formula1>
    </dataValidation>
    <dataValidation type="date" operator="greaterThan" allowBlank="1" showErrorMessage="1" error="Geçerli bir tarih girin (GG.AA.YYYY)." sqref="F6:G35">
      <formula1>18264</formula1>
    </dataValidation>
    <dataValidation type="date" operator="greaterThan" allowBlank="1" showErrorMessage="1" error="Geçerli bir tarih girin (GG.AA.YYYY)." sqref="I10:J35">
      <formula1>18264</formula1>
    </dataValidation>
    <dataValidation type="date" operator="greaterThan" allowBlank="1" showErrorMessage="1" error="Geçerli bir tarih girin (GG.AA.YYYY)." sqref="I6:J35">
      <formula1>18264</formula1>
    </dataValidation>
    <dataValidation type="date" operator="greaterThan" allowBlank="1" showErrorMessage="1" error="Geçerli bir tarih girin (GG.AA.YYYY)." sqref="L10:M35">
      <formula1>18264</formula1>
    </dataValidation>
    <dataValidation type="date" operator="greaterThan" allowBlank="1" showErrorMessage="1" error="Geçerli bir tarih girin (GG.AA.YYYY)." sqref="L6:M35">
      <formula1>18264</formula1>
    </dataValidation>
    <dataValidation type="list" allowBlank="1" showErrorMessage="1" errorTitle="Geçersiz değer" error="Listeden seçin: Evet, Hayır" sqref="S10:S35">
      <formula1>"Evet,Hayır"</formula1>
    </dataValidation>
    <dataValidation type="list" allowBlank="1" showErrorMessage="1" errorTitle="Geçersiz değer" error="Listeden seçin: Evet, Hayır" sqref="S6:S35">
      <formula1>"Evet,Hayır"</formula1>
    </dataValidation>
    <dataValidation type="list" allowBlank="1" showErrorMessage="1" errorTitle="Geçersiz değer" error="Listeden seçin: Onaylandı, Revize, Beklemede" sqref="T10:T35">
      <formula1>"Onaylandı,Revize,Beklemede"</formula1>
    </dataValidation>
    <dataValidation type="list" allowBlank="1" showErrorMessage="1" errorTitle="Geçersiz değer" error="Listeden seçin: Onaylandı, Revize, Beklemede" sqref="T6:T35">
      <formula1>"Onaylandı,Revize,Beklemede"</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36"/>
  <sheetViews>
    <sheetView workbookViewId="0" showGridLines="0">
      <pane xSplit="2" ySplit="5" topLeftCell="C6" activePane="bottomRight" state="frozen"/>
      <selection pane="bottomRight"/>
    </sheetView>
  </sheetViews>
  <sheetFormatPr defaultRowHeight="15" outlineLevelRow="0" outlineLevelCol="0" x14ac:dyDescent="55"/>
  <cols>
    <col min="1" max="1" width="7" customWidth="1"/>
    <col min="2" max="2" width="20" customWidth="1"/>
    <col min="3" max="55" width="3.6" customWidth="1"/>
  </cols>
  <sheetData>
    <row r="1" ht="34" customHeight="1" spans="2:2" x14ac:dyDescent="0.25">
      <c r="B1" s="1" t="s">
        <v>0</v>
      </c>
    </row>
    <row r="2" ht="18" customHeight="1" spans="2:2" x14ac:dyDescent="0.25">
      <c r="B2" s="2" t="s">
        <v>42</v>
      </c>
    </row>
    <row r="3" ht="16" customHeight="1" spans="2:2" x14ac:dyDescent="0.25">
      <c r="B3" s="3" t="s">
        <v>2</v>
      </c>
    </row>
    <row r="4" spans="1:55"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row>
    <row r="5" ht="30" customHeight="1" spans="1:55" x14ac:dyDescent="0.25">
      <c r="A5" s="5" t="s">
        <v>3</v>
      </c>
      <c r="B5" s="5" t="s">
        <v>5</v>
      </c>
      <c r="C5" s="5" t="s">
        <v>43</v>
      </c>
      <c r="D5" s="5" t="s">
        <v>44</v>
      </c>
      <c r="E5" s="5" t="s">
        <v>45</v>
      </c>
      <c r="F5" s="5" t="s">
        <v>46</v>
      </c>
      <c r="G5" s="5" t="s">
        <v>47</v>
      </c>
      <c r="H5" s="5" t="s">
        <v>48</v>
      </c>
      <c r="I5" s="5" t="s">
        <v>49</v>
      </c>
      <c r="J5" s="5" t="s">
        <v>50</v>
      </c>
      <c r="K5" s="5" t="s">
        <v>51</v>
      </c>
      <c r="L5" s="5" t="s">
        <v>52</v>
      </c>
      <c r="M5" s="5" t="s">
        <v>53</v>
      </c>
      <c r="N5" s="5" t="s">
        <v>54</v>
      </c>
      <c r="O5" s="5" t="s">
        <v>55</v>
      </c>
      <c r="P5" s="5" t="s">
        <v>56</v>
      </c>
      <c r="Q5" s="5" t="s">
        <v>57</v>
      </c>
      <c r="R5" s="5" t="s">
        <v>58</v>
      </c>
      <c r="S5" s="5" t="s">
        <v>59</v>
      </c>
      <c r="T5" s="5" t="s">
        <v>60</v>
      </c>
      <c r="U5" s="5" t="s">
        <v>61</v>
      </c>
      <c r="V5" s="5" t="s">
        <v>62</v>
      </c>
      <c r="W5" s="5" t="s">
        <v>63</v>
      </c>
      <c r="X5" s="5" t="s">
        <v>64</v>
      </c>
      <c r="Y5" s="5" t="s">
        <v>65</v>
      </c>
      <c r="Z5" s="5" t="s">
        <v>66</v>
      </c>
      <c r="AA5" s="5" t="s">
        <v>67</v>
      </c>
      <c r="AB5" s="5" t="s">
        <v>68</v>
      </c>
      <c r="AC5" s="5" t="s">
        <v>69</v>
      </c>
      <c r="AD5" s="5" t="s">
        <v>70</v>
      </c>
      <c r="AE5" s="5" t="s">
        <v>71</v>
      </c>
      <c r="AF5" s="5" t="s">
        <v>72</v>
      </c>
      <c r="AG5" s="5" t="s">
        <v>73</v>
      </c>
      <c r="AH5" s="5" t="s">
        <v>74</v>
      </c>
      <c r="AI5" s="5" t="s">
        <v>75</v>
      </c>
      <c r="AJ5" s="5" t="s">
        <v>76</v>
      </c>
      <c r="AK5" s="5" t="s">
        <v>77</v>
      </c>
      <c r="AL5" s="5" t="s">
        <v>78</v>
      </c>
      <c r="AM5" s="5" t="s">
        <v>79</v>
      </c>
      <c r="AN5" s="5" t="s">
        <v>80</v>
      </c>
      <c r="AO5" s="5" t="s">
        <v>81</v>
      </c>
      <c r="AP5" s="5" t="s">
        <v>82</v>
      </c>
      <c r="AQ5" s="5" t="s">
        <v>83</v>
      </c>
      <c r="AR5" s="5" t="s">
        <v>84</v>
      </c>
      <c r="AS5" s="5" t="s">
        <v>85</v>
      </c>
      <c r="AT5" s="5" t="s">
        <v>86</v>
      </c>
      <c r="AU5" s="5" t="s">
        <v>87</v>
      </c>
      <c r="AV5" s="5" t="s">
        <v>88</v>
      </c>
      <c r="AW5" s="5" t="s">
        <v>89</v>
      </c>
      <c r="AX5" s="5" t="s">
        <v>90</v>
      </c>
      <c r="AY5" s="5" t="s">
        <v>91</v>
      </c>
      <c r="AZ5" s="5" t="s">
        <v>92</v>
      </c>
      <c r="BA5" s="5" t="s">
        <v>93</v>
      </c>
      <c r="BB5" s="5" t="s">
        <v>94</v>
      </c>
      <c r="BC5" s="5" t="s">
        <v>95</v>
      </c>
    </row>
    <row r="6" ht="18" customHeight="1" spans="1:55" x14ac:dyDescent="0.25">
      <c r="A6" s="6">
        <v>1</v>
      </c>
      <c r="B6" s="13">
        <f>IF(INDEX('İzin Planı'!$C$6:$C$35,6-5)="","",INDEX('İzin Planı'!$C$6:$C$35,6-5))</f>
      </c>
      <c r="C6" s="13">
        <f>IF(INDEX('İzin Planı'!$C$6:$C$35,6-5)="","",IF(OR(AND(N(INDEX('İzin Planı'!$F$6:$F$35,6-5))&gt;0,INDEX('İzin Planı'!$F$6:$F$35,6-5)&lt;=('Özet'!$C$6+7*0)+6,INDEX('İzin Planı'!$G$6:$G$35,6-5)&gt;=('Özet'!$C$6+7*0)),AND(N(INDEX('İzin Planı'!$I$6:$I$35,6-5))&gt;0,INDEX('İzin Planı'!$I$6:$I$35,6-5)&lt;=('Özet'!$C$6+7*0)+6,INDEX('İzin Planı'!$J$6:$J$35,6-5)&gt;=('Özet'!$C$6+7*0)),AND(N(INDEX('İzin Planı'!$L$6:$L$35,6-5))&gt;0,INDEX('İzin Planı'!$L$6:$L$35,6-5)&lt;=('Özet'!$C$6+7*0)+6,INDEX('İzin Planı'!$M$6:$M$35,6-5)&gt;=('Özet'!$C$6+7*0))),"İ",""))</f>
      </c>
      <c r="D6" s="13">
        <f>IF(INDEX('İzin Planı'!$C$6:$C$35,6-5)="","",IF(OR(AND(N(INDEX('İzin Planı'!$F$6:$F$35,6-5))&gt;0,INDEX('İzin Planı'!$F$6:$F$35,6-5)&lt;=('Özet'!$C$6+7*1)+6,INDEX('İzin Planı'!$G$6:$G$35,6-5)&gt;=('Özet'!$C$6+7*1)),AND(N(INDEX('İzin Planı'!$I$6:$I$35,6-5))&gt;0,INDEX('İzin Planı'!$I$6:$I$35,6-5)&lt;=('Özet'!$C$6+7*1)+6,INDEX('İzin Planı'!$J$6:$J$35,6-5)&gt;=('Özet'!$C$6+7*1)),AND(N(INDEX('İzin Planı'!$L$6:$L$35,6-5))&gt;0,INDEX('İzin Planı'!$L$6:$L$35,6-5)&lt;=('Özet'!$C$6+7*1)+6,INDEX('İzin Planı'!$M$6:$M$35,6-5)&gt;=('Özet'!$C$6+7*1))),"İ",""))</f>
      </c>
      <c r="E6" s="13">
        <f>IF(INDEX('İzin Planı'!$C$6:$C$35,6-5)="","",IF(OR(AND(N(INDEX('İzin Planı'!$F$6:$F$35,6-5))&gt;0,INDEX('İzin Planı'!$F$6:$F$35,6-5)&lt;=('Özet'!$C$6+7*2)+6,INDEX('İzin Planı'!$G$6:$G$35,6-5)&gt;=('Özet'!$C$6+7*2)),AND(N(INDEX('İzin Planı'!$I$6:$I$35,6-5))&gt;0,INDEX('İzin Planı'!$I$6:$I$35,6-5)&lt;=('Özet'!$C$6+7*2)+6,INDEX('İzin Planı'!$J$6:$J$35,6-5)&gt;=('Özet'!$C$6+7*2)),AND(N(INDEX('İzin Planı'!$L$6:$L$35,6-5))&gt;0,INDEX('İzin Planı'!$L$6:$L$35,6-5)&lt;=('Özet'!$C$6+7*2)+6,INDEX('İzin Planı'!$M$6:$M$35,6-5)&gt;=('Özet'!$C$6+7*2))),"İ",""))</f>
      </c>
      <c r="F6" s="13">
        <f>IF(INDEX('İzin Planı'!$C$6:$C$35,6-5)="","",IF(OR(AND(N(INDEX('İzin Planı'!$F$6:$F$35,6-5))&gt;0,INDEX('İzin Planı'!$F$6:$F$35,6-5)&lt;=('Özet'!$C$6+7*3)+6,INDEX('İzin Planı'!$G$6:$G$35,6-5)&gt;=('Özet'!$C$6+7*3)),AND(N(INDEX('İzin Planı'!$I$6:$I$35,6-5))&gt;0,INDEX('İzin Planı'!$I$6:$I$35,6-5)&lt;=('Özet'!$C$6+7*3)+6,INDEX('İzin Planı'!$J$6:$J$35,6-5)&gt;=('Özet'!$C$6+7*3)),AND(N(INDEX('İzin Planı'!$L$6:$L$35,6-5))&gt;0,INDEX('İzin Planı'!$L$6:$L$35,6-5)&lt;=('Özet'!$C$6+7*3)+6,INDEX('İzin Planı'!$M$6:$M$35,6-5)&gt;=('Özet'!$C$6+7*3))),"İ",""))</f>
      </c>
      <c r="G6" s="13">
        <f>IF(INDEX('İzin Planı'!$C$6:$C$35,6-5)="","",IF(OR(AND(N(INDEX('İzin Planı'!$F$6:$F$35,6-5))&gt;0,INDEX('İzin Planı'!$F$6:$F$35,6-5)&lt;=('Özet'!$C$6+7*4)+6,INDEX('İzin Planı'!$G$6:$G$35,6-5)&gt;=('Özet'!$C$6+7*4)),AND(N(INDEX('İzin Planı'!$I$6:$I$35,6-5))&gt;0,INDEX('İzin Planı'!$I$6:$I$35,6-5)&lt;=('Özet'!$C$6+7*4)+6,INDEX('İzin Planı'!$J$6:$J$35,6-5)&gt;=('Özet'!$C$6+7*4)),AND(N(INDEX('İzin Planı'!$L$6:$L$35,6-5))&gt;0,INDEX('İzin Planı'!$L$6:$L$35,6-5)&lt;=('Özet'!$C$6+7*4)+6,INDEX('İzin Planı'!$M$6:$M$35,6-5)&gt;=('Özet'!$C$6+7*4))),"İ",""))</f>
      </c>
      <c r="H6" s="13">
        <f>IF(INDEX('İzin Planı'!$C$6:$C$35,6-5)="","",IF(OR(AND(N(INDEX('İzin Planı'!$F$6:$F$35,6-5))&gt;0,INDEX('İzin Planı'!$F$6:$F$35,6-5)&lt;=('Özet'!$C$6+7*5)+6,INDEX('İzin Planı'!$G$6:$G$35,6-5)&gt;=('Özet'!$C$6+7*5)),AND(N(INDEX('İzin Planı'!$I$6:$I$35,6-5))&gt;0,INDEX('İzin Planı'!$I$6:$I$35,6-5)&lt;=('Özet'!$C$6+7*5)+6,INDEX('İzin Planı'!$J$6:$J$35,6-5)&gt;=('Özet'!$C$6+7*5)),AND(N(INDEX('İzin Planı'!$L$6:$L$35,6-5))&gt;0,INDEX('İzin Planı'!$L$6:$L$35,6-5)&lt;=('Özet'!$C$6+7*5)+6,INDEX('İzin Planı'!$M$6:$M$35,6-5)&gt;=('Özet'!$C$6+7*5))),"İ",""))</f>
      </c>
      <c r="I6" s="13">
        <f>IF(INDEX('İzin Planı'!$C$6:$C$35,6-5)="","",IF(OR(AND(N(INDEX('İzin Planı'!$F$6:$F$35,6-5))&gt;0,INDEX('İzin Planı'!$F$6:$F$35,6-5)&lt;=('Özet'!$C$6+7*6)+6,INDEX('İzin Planı'!$G$6:$G$35,6-5)&gt;=('Özet'!$C$6+7*6)),AND(N(INDEX('İzin Planı'!$I$6:$I$35,6-5))&gt;0,INDEX('İzin Planı'!$I$6:$I$35,6-5)&lt;=('Özet'!$C$6+7*6)+6,INDEX('İzin Planı'!$J$6:$J$35,6-5)&gt;=('Özet'!$C$6+7*6)),AND(N(INDEX('İzin Planı'!$L$6:$L$35,6-5))&gt;0,INDEX('İzin Planı'!$L$6:$L$35,6-5)&lt;=('Özet'!$C$6+7*6)+6,INDEX('İzin Planı'!$M$6:$M$35,6-5)&gt;=('Özet'!$C$6+7*6))),"İ",""))</f>
      </c>
      <c r="J6" s="13">
        <f>IF(INDEX('İzin Planı'!$C$6:$C$35,6-5)="","",IF(OR(AND(N(INDEX('İzin Planı'!$F$6:$F$35,6-5))&gt;0,INDEX('İzin Planı'!$F$6:$F$35,6-5)&lt;=('Özet'!$C$6+7*7)+6,INDEX('İzin Planı'!$G$6:$G$35,6-5)&gt;=('Özet'!$C$6+7*7)),AND(N(INDEX('İzin Planı'!$I$6:$I$35,6-5))&gt;0,INDEX('İzin Planı'!$I$6:$I$35,6-5)&lt;=('Özet'!$C$6+7*7)+6,INDEX('İzin Planı'!$J$6:$J$35,6-5)&gt;=('Özet'!$C$6+7*7)),AND(N(INDEX('İzin Planı'!$L$6:$L$35,6-5))&gt;0,INDEX('İzin Planı'!$L$6:$L$35,6-5)&lt;=('Özet'!$C$6+7*7)+6,INDEX('İzin Planı'!$M$6:$M$35,6-5)&gt;=('Özet'!$C$6+7*7))),"İ",""))</f>
      </c>
      <c r="K6" s="13">
        <f>IF(INDEX('İzin Planı'!$C$6:$C$35,6-5)="","",IF(OR(AND(N(INDEX('İzin Planı'!$F$6:$F$35,6-5))&gt;0,INDEX('İzin Planı'!$F$6:$F$35,6-5)&lt;=('Özet'!$C$6+7*8)+6,INDEX('İzin Planı'!$G$6:$G$35,6-5)&gt;=('Özet'!$C$6+7*8)),AND(N(INDEX('İzin Planı'!$I$6:$I$35,6-5))&gt;0,INDEX('İzin Planı'!$I$6:$I$35,6-5)&lt;=('Özet'!$C$6+7*8)+6,INDEX('İzin Planı'!$J$6:$J$35,6-5)&gt;=('Özet'!$C$6+7*8)),AND(N(INDEX('İzin Planı'!$L$6:$L$35,6-5))&gt;0,INDEX('İzin Planı'!$L$6:$L$35,6-5)&lt;=('Özet'!$C$6+7*8)+6,INDEX('İzin Planı'!$M$6:$M$35,6-5)&gt;=('Özet'!$C$6+7*8))),"İ",""))</f>
      </c>
      <c r="L6" s="13">
        <f>IF(INDEX('İzin Planı'!$C$6:$C$35,6-5)="","",IF(OR(AND(N(INDEX('İzin Planı'!$F$6:$F$35,6-5))&gt;0,INDEX('İzin Planı'!$F$6:$F$35,6-5)&lt;=('Özet'!$C$6+7*9)+6,INDEX('İzin Planı'!$G$6:$G$35,6-5)&gt;=('Özet'!$C$6+7*9)),AND(N(INDEX('İzin Planı'!$I$6:$I$35,6-5))&gt;0,INDEX('İzin Planı'!$I$6:$I$35,6-5)&lt;=('Özet'!$C$6+7*9)+6,INDEX('İzin Planı'!$J$6:$J$35,6-5)&gt;=('Özet'!$C$6+7*9)),AND(N(INDEX('İzin Planı'!$L$6:$L$35,6-5))&gt;0,INDEX('İzin Planı'!$L$6:$L$35,6-5)&lt;=('Özet'!$C$6+7*9)+6,INDEX('İzin Planı'!$M$6:$M$35,6-5)&gt;=('Özet'!$C$6+7*9))),"İ",""))</f>
      </c>
      <c r="M6" s="13">
        <f>IF(INDEX('İzin Planı'!$C$6:$C$35,6-5)="","",IF(OR(AND(N(INDEX('İzin Planı'!$F$6:$F$35,6-5))&gt;0,INDEX('İzin Planı'!$F$6:$F$35,6-5)&lt;=('Özet'!$C$6+7*10)+6,INDEX('İzin Planı'!$G$6:$G$35,6-5)&gt;=('Özet'!$C$6+7*10)),AND(N(INDEX('İzin Planı'!$I$6:$I$35,6-5))&gt;0,INDEX('İzin Planı'!$I$6:$I$35,6-5)&lt;=('Özet'!$C$6+7*10)+6,INDEX('İzin Planı'!$J$6:$J$35,6-5)&gt;=('Özet'!$C$6+7*10)),AND(N(INDEX('İzin Planı'!$L$6:$L$35,6-5))&gt;0,INDEX('İzin Planı'!$L$6:$L$35,6-5)&lt;=('Özet'!$C$6+7*10)+6,INDEX('İzin Planı'!$M$6:$M$35,6-5)&gt;=('Özet'!$C$6+7*10))),"İ",""))</f>
      </c>
      <c r="N6" s="13">
        <f>IF(INDEX('İzin Planı'!$C$6:$C$35,6-5)="","",IF(OR(AND(N(INDEX('İzin Planı'!$F$6:$F$35,6-5))&gt;0,INDEX('İzin Planı'!$F$6:$F$35,6-5)&lt;=('Özet'!$C$6+7*11)+6,INDEX('İzin Planı'!$G$6:$G$35,6-5)&gt;=('Özet'!$C$6+7*11)),AND(N(INDEX('İzin Planı'!$I$6:$I$35,6-5))&gt;0,INDEX('İzin Planı'!$I$6:$I$35,6-5)&lt;=('Özet'!$C$6+7*11)+6,INDEX('İzin Planı'!$J$6:$J$35,6-5)&gt;=('Özet'!$C$6+7*11)),AND(N(INDEX('İzin Planı'!$L$6:$L$35,6-5))&gt;0,INDEX('İzin Planı'!$L$6:$L$35,6-5)&lt;=('Özet'!$C$6+7*11)+6,INDEX('İzin Planı'!$M$6:$M$35,6-5)&gt;=('Özet'!$C$6+7*11))),"İ",""))</f>
      </c>
      <c r="O6" s="13">
        <f>IF(INDEX('İzin Planı'!$C$6:$C$35,6-5)="","",IF(OR(AND(N(INDEX('İzin Planı'!$F$6:$F$35,6-5))&gt;0,INDEX('İzin Planı'!$F$6:$F$35,6-5)&lt;=('Özet'!$C$6+7*12)+6,INDEX('İzin Planı'!$G$6:$G$35,6-5)&gt;=('Özet'!$C$6+7*12)),AND(N(INDEX('İzin Planı'!$I$6:$I$35,6-5))&gt;0,INDEX('İzin Planı'!$I$6:$I$35,6-5)&lt;=('Özet'!$C$6+7*12)+6,INDEX('İzin Planı'!$J$6:$J$35,6-5)&gt;=('Özet'!$C$6+7*12)),AND(N(INDEX('İzin Planı'!$L$6:$L$35,6-5))&gt;0,INDEX('İzin Planı'!$L$6:$L$35,6-5)&lt;=('Özet'!$C$6+7*12)+6,INDEX('İzin Planı'!$M$6:$M$35,6-5)&gt;=('Özet'!$C$6+7*12))),"İ",""))</f>
      </c>
      <c r="P6" s="13">
        <f>IF(INDEX('İzin Planı'!$C$6:$C$35,6-5)="","",IF(OR(AND(N(INDEX('İzin Planı'!$F$6:$F$35,6-5))&gt;0,INDEX('İzin Planı'!$F$6:$F$35,6-5)&lt;=('Özet'!$C$6+7*13)+6,INDEX('İzin Planı'!$G$6:$G$35,6-5)&gt;=('Özet'!$C$6+7*13)),AND(N(INDEX('İzin Planı'!$I$6:$I$35,6-5))&gt;0,INDEX('İzin Planı'!$I$6:$I$35,6-5)&lt;=('Özet'!$C$6+7*13)+6,INDEX('İzin Planı'!$J$6:$J$35,6-5)&gt;=('Özet'!$C$6+7*13)),AND(N(INDEX('İzin Planı'!$L$6:$L$35,6-5))&gt;0,INDEX('İzin Planı'!$L$6:$L$35,6-5)&lt;=('Özet'!$C$6+7*13)+6,INDEX('İzin Planı'!$M$6:$M$35,6-5)&gt;=('Özet'!$C$6+7*13))),"İ",""))</f>
      </c>
      <c r="Q6" s="13">
        <f>IF(INDEX('İzin Planı'!$C$6:$C$35,6-5)="","",IF(OR(AND(N(INDEX('İzin Planı'!$F$6:$F$35,6-5))&gt;0,INDEX('İzin Planı'!$F$6:$F$35,6-5)&lt;=('Özet'!$C$6+7*14)+6,INDEX('İzin Planı'!$G$6:$G$35,6-5)&gt;=('Özet'!$C$6+7*14)),AND(N(INDEX('İzin Planı'!$I$6:$I$35,6-5))&gt;0,INDEX('İzin Planı'!$I$6:$I$35,6-5)&lt;=('Özet'!$C$6+7*14)+6,INDEX('İzin Planı'!$J$6:$J$35,6-5)&gt;=('Özet'!$C$6+7*14)),AND(N(INDEX('İzin Planı'!$L$6:$L$35,6-5))&gt;0,INDEX('İzin Planı'!$L$6:$L$35,6-5)&lt;=('Özet'!$C$6+7*14)+6,INDEX('İzin Planı'!$M$6:$M$35,6-5)&gt;=('Özet'!$C$6+7*14))),"İ",""))</f>
      </c>
      <c r="R6" s="13">
        <f>IF(INDEX('İzin Planı'!$C$6:$C$35,6-5)="","",IF(OR(AND(N(INDEX('İzin Planı'!$F$6:$F$35,6-5))&gt;0,INDEX('İzin Planı'!$F$6:$F$35,6-5)&lt;=('Özet'!$C$6+7*15)+6,INDEX('İzin Planı'!$G$6:$G$35,6-5)&gt;=('Özet'!$C$6+7*15)),AND(N(INDEX('İzin Planı'!$I$6:$I$35,6-5))&gt;0,INDEX('İzin Planı'!$I$6:$I$35,6-5)&lt;=('Özet'!$C$6+7*15)+6,INDEX('İzin Planı'!$J$6:$J$35,6-5)&gt;=('Özet'!$C$6+7*15)),AND(N(INDEX('İzin Planı'!$L$6:$L$35,6-5))&gt;0,INDEX('İzin Planı'!$L$6:$L$35,6-5)&lt;=('Özet'!$C$6+7*15)+6,INDEX('İzin Planı'!$M$6:$M$35,6-5)&gt;=('Özet'!$C$6+7*15))),"İ",""))</f>
      </c>
      <c r="S6" s="13">
        <f>IF(INDEX('İzin Planı'!$C$6:$C$35,6-5)="","",IF(OR(AND(N(INDEX('İzin Planı'!$F$6:$F$35,6-5))&gt;0,INDEX('İzin Planı'!$F$6:$F$35,6-5)&lt;=('Özet'!$C$6+7*16)+6,INDEX('İzin Planı'!$G$6:$G$35,6-5)&gt;=('Özet'!$C$6+7*16)),AND(N(INDEX('İzin Planı'!$I$6:$I$35,6-5))&gt;0,INDEX('İzin Planı'!$I$6:$I$35,6-5)&lt;=('Özet'!$C$6+7*16)+6,INDEX('İzin Planı'!$J$6:$J$35,6-5)&gt;=('Özet'!$C$6+7*16)),AND(N(INDEX('İzin Planı'!$L$6:$L$35,6-5))&gt;0,INDEX('İzin Planı'!$L$6:$L$35,6-5)&lt;=('Özet'!$C$6+7*16)+6,INDEX('İzin Planı'!$M$6:$M$35,6-5)&gt;=('Özet'!$C$6+7*16))),"İ",""))</f>
      </c>
      <c r="T6" s="13">
        <f>IF(INDEX('İzin Planı'!$C$6:$C$35,6-5)="","",IF(OR(AND(N(INDEX('İzin Planı'!$F$6:$F$35,6-5))&gt;0,INDEX('İzin Planı'!$F$6:$F$35,6-5)&lt;=('Özet'!$C$6+7*17)+6,INDEX('İzin Planı'!$G$6:$G$35,6-5)&gt;=('Özet'!$C$6+7*17)),AND(N(INDEX('İzin Planı'!$I$6:$I$35,6-5))&gt;0,INDEX('İzin Planı'!$I$6:$I$35,6-5)&lt;=('Özet'!$C$6+7*17)+6,INDEX('İzin Planı'!$J$6:$J$35,6-5)&gt;=('Özet'!$C$6+7*17)),AND(N(INDEX('İzin Planı'!$L$6:$L$35,6-5))&gt;0,INDEX('İzin Planı'!$L$6:$L$35,6-5)&lt;=('Özet'!$C$6+7*17)+6,INDEX('İzin Planı'!$M$6:$M$35,6-5)&gt;=('Özet'!$C$6+7*17))),"İ",""))</f>
      </c>
      <c r="U6" s="13">
        <f>IF(INDEX('İzin Planı'!$C$6:$C$35,6-5)="","",IF(OR(AND(N(INDEX('İzin Planı'!$F$6:$F$35,6-5))&gt;0,INDEX('İzin Planı'!$F$6:$F$35,6-5)&lt;=('Özet'!$C$6+7*18)+6,INDEX('İzin Planı'!$G$6:$G$35,6-5)&gt;=('Özet'!$C$6+7*18)),AND(N(INDEX('İzin Planı'!$I$6:$I$35,6-5))&gt;0,INDEX('İzin Planı'!$I$6:$I$35,6-5)&lt;=('Özet'!$C$6+7*18)+6,INDEX('İzin Planı'!$J$6:$J$35,6-5)&gt;=('Özet'!$C$6+7*18)),AND(N(INDEX('İzin Planı'!$L$6:$L$35,6-5))&gt;0,INDEX('İzin Planı'!$L$6:$L$35,6-5)&lt;=('Özet'!$C$6+7*18)+6,INDEX('İzin Planı'!$M$6:$M$35,6-5)&gt;=('Özet'!$C$6+7*18))),"İ",""))</f>
      </c>
      <c r="V6" s="13">
        <f>IF(INDEX('İzin Planı'!$C$6:$C$35,6-5)="","",IF(OR(AND(N(INDEX('İzin Planı'!$F$6:$F$35,6-5))&gt;0,INDEX('İzin Planı'!$F$6:$F$35,6-5)&lt;=('Özet'!$C$6+7*19)+6,INDEX('İzin Planı'!$G$6:$G$35,6-5)&gt;=('Özet'!$C$6+7*19)),AND(N(INDEX('İzin Planı'!$I$6:$I$35,6-5))&gt;0,INDEX('İzin Planı'!$I$6:$I$35,6-5)&lt;=('Özet'!$C$6+7*19)+6,INDEX('İzin Planı'!$J$6:$J$35,6-5)&gt;=('Özet'!$C$6+7*19)),AND(N(INDEX('İzin Planı'!$L$6:$L$35,6-5))&gt;0,INDEX('İzin Planı'!$L$6:$L$35,6-5)&lt;=('Özet'!$C$6+7*19)+6,INDEX('İzin Planı'!$M$6:$M$35,6-5)&gt;=('Özet'!$C$6+7*19))),"İ",""))</f>
      </c>
      <c r="W6" s="13">
        <f>IF(INDEX('İzin Planı'!$C$6:$C$35,6-5)="","",IF(OR(AND(N(INDEX('İzin Planı'!$F$6:$F$35,6-5))&gt;0,INDEX('İzin Planı'!$F$6:$F$35,6-5)&lt;=('Özet'!$C$6+7*20)+6,INDEX('İzin Planı'!$G$6:$G$35,6-5)&gt;=('Özet'!$C$6+7*20)),AND(N(INDEX('İzin Planı'!$I$6:$I$35,6-5))&gt;0,INDEX('İzin Planı'!$I$6:$I$35,6-5)&lt;=('Özet'!$C$6+7*20)+6,INDEX('İzin Planı'!$J$6:$J$35,6-5)&gt;=('Özet'!$C$6+7*20)),AND(N(INDEX('İzin Planı'!$L$6:$L$35,6-5))&gt;0,INDEX('İzin Planı'!$L$6:$L$35,6-5)&lt;=('Özet'!$C$6+7*20)+6,INDEX('İzin Planı'!$M$6:$M$35,6-5)&gt;=('Özet'!$C$6+7*20))),"İ",""))</f>
      </c>
      <c r="X6" s="13">
        <f>IF(INDEX('İzin Planı'!$C$6:$C$35,6-5)="","",IF(OR(AND(N(INDEX('İzin Planı'!$F$6:$F$35,6-5))&gt;0,INDEX('İzin Planı'!$F$6:$F$35,6-5)&lt;=('Özet'!$C$6+7*21)+6,INDEX('İzin Planı'!$G$6:$G$35,6-5)&gt;=('Özet'!$C$6+7*21)),AND(N(INDEX('İzin Planı'!$I$6:$I$35,6-5))&gt;0,INDEX('İzin Planı'!$I$6:$I$35,6-5)&lt;=('Özet'!$C$6+7*21)+6,INDEX('İzin Planı'!$J$6:$J$35,6-5)&gt;=('Özet'!$C$6+7*21)),AND(N(INDEX('İzin Planı'!$L$6:$L$35,6-5))&gt;0,INDEX('İzin Planı'!$L$6:$L$35,6-5)&lt;=('Özet'!$C$6+7*21)+6,INDEX('İzin Planı'!$M$6:$M$35,6-5)&gt;=('Özet'!$C$6+7*21))),"İ",""))</f>
      </c>
      <c r="Y6" s="13">
        <f>IF(INDEX('İzin Planı'!$C$6:$C$35,6-5)="","",IF(OR(AND(N(INDEX('İzin Planı'!$F$6:$F$35,6-5))&gt;0,INDEX('İzin Planı'!$F$6:$F$35,6-5)&lt;=('Özet'!$C$6+7*22)+6,INDEX('İzin Planı'!$G$6:$G$35,6-5)&gt;=('Özet'!$C$6+7*22)),AND(N(INDEX('İzin Planı'!$I$6:$I$35,6-5))&gt;0,INDEX('İzin Planı'!$I$6:$I$35,6-5)&lt;=('Özet'!$C$6+7*22)+6,INDEX('İzin Planı'!$J$6:$J$35,6-5)&gt;=('Özet'!$C$6+7*22)),AND(N(INDEX('İzin Planı'!$L$6:$L$35,6-5))&gt;0,INDEX('İzin Planı'!$L$6:$L$35,6-5)&lt;=('Özet'!$C$6+7*22)+6,INDEX('İzin Planı'!$M$6:$M$35,6-5)&gt;=('Özet'!$C$6+7*22))),"İ",""))</f>
      </c>
      <c r="Z6" s="13">
        <f>IF(INDEX('İzin Planı'!$C$6:$C$35,6-5)="","",IF(OR(AND(N(INDEX('İzin Planı'!$F$6:$F$35,6-5))&gt;0,INDEX('İzin Planı'!$F$6:$F$35,6-5)&lt;=('Özet'!$C$6+7*23)+6,INDEX('İzin Planı'!$G$6:$G$35,6-5)&gt;=('Özet'!$C$6+7*23)),AND(N(INDEX('İzin Planı'!$I$6:$I$35,6-5))&gt;0,INDEX('İzin Planı'!$I$6:$I$35,6-5)&lt;=('Özet'!$C$6+7*23)+6,INDEX('İzin Planı'!$J$6:$J$35,6-5)&gt;=('Özet'!$C$6+7*23)),AND(N(INDEX('İzin Planı'!$L$6:$L$35,6-5))&gt;0,INDEX('İzin Planı'!$L$6:$L$35,6-5)&lt;=('Özet'!$C$6+7*23)+6,INDEX('İzin Planı'!$M$6:$M$35,6-5)&gt;=('Özet'!$C$6+7*23))),"İ",""))</f>
      </c>
      <c r="AA6" s="13">
        <f>IF(INDEX('İzin Planı'!$C$6:$C$35,6-5)="","",IF(OR(AND(N(INDEX('İzin Planı'!$F$6:$F$35,6-5))&gt;0,INDEX('İzin Planı'!$F$6:$F$35,6-5)&lt;=('Özet'!$C$6+7*24)+6,INDEX('İzin Planı'!$G$6:$G$35,6-5)&gt;=('Özet'!$C$6+7*24)),AND(N(INDEX('İzin Planı'!$I$6:$I$35,6-5))&gt;0,INDEX('İzin Planı'!$I$6:$I$35,6-5)&lt;=('Özet'!$C$6+7*24)+6,INDEX('İzin Planı'!$J$6:$J$35,6-5)&gt;=('Özet'!$C$6+7*24)),AND(N(INDEX('İzin Planı'!$L$6:$L$35,6-5))&gt;0,INDEX('İzin Planı'!$L$6:$L$35,6-5)&lt;=('Özet'!$C$6+7*24)+6,INDEX('İzin Planı'!$M$6:$M$35,6-5)&gt;=('Özet'!$C$6+7*24))),"İ",""))</f>
      </c>
      <c r="AB6" s="13">
        <f>IF(INDEX('İzin Planı'!$C$6:$C$35,6-5)="","",IF(OR(AND(N(INDEX('İzin Planı'!$F$6:$F$35,6-5))&gt;0,INDEX('İzin Planı'!$F$6:$F$35,6-5)&lt;=('Özet'!$C$6+7*25)+6,INDEX('İzin Planı'!$G$6:$G$35,6-5)&gt;=('Özet'!$C$6+7*25)),AND(N(INDEX('İzin Planı'!$I$6:$I$35,6-5))&gt;0,INDEX('İzin Planı'!$I$6:$I$35,6-5)&lt;=('Özet'!$C$6+7*25)+6,INDEX('İzin Planı'!$J$6:$J$35,6-5)&gt;=('Özet'!$C$6+7*25)),AND(N(INDEX('İzin Planı'!$L$6:$L$35,6-5))&gt;0,INDEX('İzin Planı'!$L$6:$L$35,6-5)&lt;=('Özet'!$C$6+7*25)+6,INDEX('İzin Planı'!$M$6:$M$35,6-5)&gt;=('Özet'!$C$6+7*25))),"İ",""))</f>
      </c>
      <c r="AC6" s="13">
        <f>IF(INDEX('İzin Planı'!$C$6:$C$35,6-5)="","",IF(OR(AND(N(INDEX('İzin Planı'!$F$6:$F$35,6-5))&gt;0,INDEX('İzin Planı'!$F$6:$F$35,6-5)&lt;=('Özet'!$C$6+7*26)+6,INDEX('İzin Planı'!$G$6:$G$35,6-5)&gt;=('Özet'!$C$6+7*26)),AND(N(INDEX('İzin Planı'!$I$6:$I$35,6-5))&gt;0,INDEX('İzin Planı'!$I$6:$I$35,6-5)&lt;=('Özet'!$C$6+7*26)+6,INDEX('İzin Planı'!$J$6:$J$35,6-5)&gt;=('Özet'!$C$6+7*26)),AND(N(INDEX('İzin Planı'!$L$6:$L$35,6-5))&gt;0,INDEX('İzin Planı'!$L$6:$L$35,6-5)&lt;=('Özet'!$C$6+7*26)+6,INDEX('İzin Planı'!$M$6:$M$35,6-5)&gt;=('Özet'!$C$6+7*26))),"İ",""))</f>
      </c>
      <c r="AD6" s="13">
        <f>IF(INDEX('İzin Planı'!$C$6:$C$35,6-5)="","",IF(OR(AND(N(INDEX('İzin Planı'!$F$6:$F$35,6-5))&gt;0,INDEX('İzin Planı'!$F$6:$F$35,6-5)&lt;=('Özet'!$C$6+7*27)+6,INDEX('İzin Planı'!$G$6:$G$35,6-5)&gt;=('Özet'!$C$6+7*27)),AND(N(INDEX('İzin Planı'!$I$6:$I$35,6-5))&gt;0,INDEX('İzin Planı'!$I$6:$I$35,6-5)&lt;=('Özet'!$C$6+7*27)+6,INDEX('İzin Planı'!$J$6:$J$35,6-5)&gt;=('Özet'!$C$6+7*27)),AND(N(INDEX('İzin Planı'!$L$6:$L$35,6-5))&gt;0,INDEX('İzin Planı'!$L$6:$L$35,6-5)&lt;=('Özet'!$C$6+7*27)+6,INDEX('İzin Planı'!$M$6:$M$35,6-5)&gt;=('Özet'!$C$6+7*27))),"İ",""))</f>
      </c>
      <c r="AE6" s="13">
        <f>IF(INDEX('İzin Planı'!$C$6:$C$35,6-5)="","",IF(OR(AND(N(INDEX('İzin Planı'!$F$6:$F$35,6-5))&gt;0,INDEX('İzin Planı'!$F$6:$F$35,6-5)&lt;=('Özet'!$C$6+7*28)+6,INDEX('İzin Planı'!$G$6:$G$35,6-5)&gt;=('Özet'!$C$6+7*28)),AND(N(INDEX('İzin Planı'!$I$6:$I$35,6-5))&gt;0,INDEX('İzin Planı'!$I$6:$I$35,6-5)&lt;=('Özet'!$C$6+7*28)+6,INDEX('İzin Planı'!$J$6:$J$35,6-5)&gt;=('Özet'!$C$6+7*28)),AND(N(INDEX('İzin Planı'!$L$6:$L$35,6-5))&gt;0,INDEX('İzin Planı'!$L$6:$L$35,6-5)&lt;=('Özet'!$C$6+7*28)+6,INDEX('İzin Planı'!$M$6:$M$35,6-5)&gt;=('Özet'!$C$6+7*28))),"İ",""))</f>
      </c>
      <c r="AF6" s="13">
        <f>IF(INDEX('İzin Planı'!$C$6:$C$35,6-5)="","",IF(OR(AND(N(INDEX('İzin Planı'!$F$6:$F$35,6-5))&gt;0,INDEX('İzin Planı'!$F$6:$F$35,6-5)&lt;=('Özet'!$C$6+7*29)+6,INDEX('İzin Planı'!$G$6:$G$35,6-5)&gt;=('Özet'!$C$6+7*29)),AND(N(INDEX('İzin Planı'!$I$6:$I$35,6-5))&gt;0,INDEX('İzin Planı'!$I$6:$I$35,6-5)&lt;=('Özet'!$C$6+7*29)+6,INDEX('İzin Planı'!$J$6:$J$35,6-5)&gt;=('Özet'!$C$6+7*29)),AND(N(INDEX('İzin Planı'!$L$6:$L$35,6-5))&gt;0,INDEX('İzin Planı'!$L$6:$L$35,6-5)&lt;=('Özet'!$C$6+7*29)+6,INDEX('İzin Planı'!$M$6:$M$35,6-5)&gt;=('Özet'!$C$6+7*29))),"İ",""))</f>
      </c>
      <c r="AG6" s="13">
        <f>IF(INDEX('İzin Planı'!$C$6:$C$35,6-5)="","",IF(OR(AND(N(INDEX('İzin Planı'!$F$6:$F$35,6-5))&gt;0,INDEX('İzin Planı'!$F$6:$F$35,6-5)&lt;=('Özet'!$C$6+7*30)+6,INDEX('İzin Planı'!$G$6:$G$35,6-5)&gt;=('Özet'!$C$6+7*30)),AND(N(INDEX('İzin Planı'!$I$6:$I$35,6-5))&gt;0,INDEX('İzin Planı'!$I$6:$I$35,6-5)&lt;=('Özet'!$C$6+7*30)+6,INDEX('İzin Planı'!$J$6:$J$35,6-5)&gt;=('Özet'!$C$6+7*30)),AND(N(INDEX('İzin Planı'!$L$6:$L$35,6-5))&gt;0,INDEX('İzin Planı'!$L$6:$L$35,6-5)&lt;=('Özet'!$C$6+7*30)+6,INDEX('İzin Planı'!$M$6:$M$35,6-5)&gt;=('Özet'!$C$6+7*30))),"İ",""))</f>
      </c>
      <c r="AH6" s="13">
        <f>IF(INDEX('İzin Planı'!$C$6:$C$35,6-5)="","",IF(OR(AND(N(INDEX('İzin Planı'!$F$6:$F$35,6-5))&gt;0,INDEX('İzin Planı'!$F$6:$F$35,6-5)&lt;=('Özet'!$C$6+7*31)+6,INDEX('İzin Planı'!$G$6:$G$35,6-5)&gt;=('Özet'!$C$6+7*31)),AND(N(INDEX('İzin Planı'!$I$6:$I$35,6-5))&gt;0,INDEX('İzin Planı'!$I$6:$I$35,6-5)&lt;=('Özet'!$C$6+7*31)+6,INDEX('İzin Planı'!$J$6:$J$35,6-5)&gt;=('Özet'!$C$6+7*31)),AND(N(INDEX('İzin Planı'!$L$6:$L$35,6-5))&gt;0,INDEX('İzin Planı'!$L$6:$L$35,6-5)&lt;=('Özet'!$C$6+7*31)+6,INDEX('İzin Planı'!$M$6:$M$35,6-5)&gt;=('Özet'!$C$6+7*31))),"İ",""))</f>
      </c>
      <c r="AI6" s="13">
        <f>IF(INDEX('İzin Planı'!$C$6:$C$35,6-5)="","",IF(OR(AND(N(INDEX('İzin Planı'!$F$6:$F$35,6-5))&gt;0,INDEX('İzin Planı'!$F$6:$F$35,6-5)&lt;=('Özet'!$C$6+7*32)+6,INDEX('İzin Planı'!$G$6:$G$35,6-5)&gt;=('Özet'!$C$6+7*32)),AND(N(INDEX('İzin Planı'!$I$6:$I$35,6-5))&gt;0,INDEX('İzin Planı'!$I$6:$I$35,6-5)&lt;=('Özet'!$C$6+7*32)+6,INDEX('İzin Planı'!$J$6:$J$35,6-5)&gt;=('Özet'!$C$6+7*32)),AND(N(INDEX('İzin Planı'!$L$6:$L$35,6-5))&gt;0,INDEX('İzin Planı'!$L$6:$L$35,6-5)&lt;=('Özet'!$C$6+7*32)+6,INDEX('İzin Planı'!$M$6:$M$35,6-5)&gt;=('Özet'!$C$6+7*32))),"İ",""))</f>
      </c>
      <c r="AJ6" s="13">
        <f>IF(INDEX('İzin Planı'!$C$6:$C$35,6-5)="","",IF(OR(AND(N(INDEX('İzin Planı'!$F$6:$F$35,6-5))&gt;0,INDEX('İzin Planı'!$F$6:$F$35,6-5)&lt;=('Özet'!$C$6+7*33)+6,INDEX('İzin Planı'!$G$6:$G$35,6-5)&gt;=('Özet'!$C$6+7*33)),AND(N(INDEX('İzin Planı'!$I$6:$I$35,6-5))&gt;0,INDEX('İzin Planı'!$I$6:$I$35,6-5)&lt;=('Özet'!$C$6+7*33)+6,INDEX('İzin Planı'!$J$6:$J$35,6-5)&gt;=('Özet'!$C$6+7*33)),AND(N(INDEX('İzin Planı'!$L$6:$L$35,6-5))&gt;0,INDEX('İzin Planı'!$L$6:$L$35,6-5)&lt;=('Özet'!$C$6+7*33)+6,INDEX('İzin Planı'!$M$6:$M$35,6-5)&gt;=('Özet'!$C$6+7*33))),"İ",""))</f>
      </c>
      <c r="AK6" s="13">
        <f>IF(INDEX('İzin Planı'!$C$6:$C$35,6-5)="","",IF(OR(AND(N(INDEX('İzin Planı'!$F$6:$F$35,6-5))&gt;0,INDEX('İzin Planı'!$F$6:$F$35,6-5)&lt;=('Özet'!$C$6+7*34)+6,INDEX('İzin Planı'!$G$6:$G$35,6-5)&gt;=('Özet'!$C$6+7*34)),AND(N(INDEX('İzin Planı'!$I$6:$I$35,6-5))&gt;0,INDEX('İzin Planı'!$I$6:$I$35,6-5)&lt;=('Özet'!$C$6+7*34)+6,INDEX('İzin Planı'!$J$6:$J$35,6-5)&gt;=('Özet'!$C$6+7*34)),AND(N(INDEX('İzin Planı'!$L$6:$L$35,6-5))&gt;0,INDEX('İzin Planı'!$L$6:$L$35,6-5)&lt;=('Özet'!$C$6+7*34)+6,INDEX('İzin Planı'!$M$6:$M$35,6-5)&gt;=('Özet'!$C$6+7*34))),"İ",""))</f>
      </c>
      <c r="AL6" s="13">
        <f>IF(INDEX('İzin Planı'!$C$6:$C$35,6-5)="","",IF(OR(AND(N(INDEX('İzin Planı'!$F$6:$F$35,6-5))&gt;0,INDEX('İzin Planı'!$F$6:$F$35,6-5)&lt;=('Özet'!$C$6+7*35)+6,INDEX('İzin Planı'!$G$6:$G$35,6-5)&gt;=('Özet'!$C$6+7*35)),AND(N(INDEX('İzin Planı'!$I$6:$I$35,6-5))&gt;0,INDEX('İzin Planı'!$I$6:$I$35,6-5)&lt;=('Özet'!$C$6+7*35)+6,INDEX('İzin Planı'!$J$6:$J$35,6-5)&gt;=('Özet'!$C$6+7*35)),AND(N(INDEX('İzin Planı'!$L$6:$L$35,6-5))&gt;0,INDEX('İzin Planı'!$L$6:$L$35,6-5)&lt;=('Özet'!$C$6+7*35)+6,INDEX('İzin Planı'!$M$6:$M$35,6-5)&gt;=('Özet'!$C$6+7*35))),"İ",""))</f>
      </c>
      <c r="AM6" s="13">
        <f>IF(INDEX('İzin Planı'!$C$6:$C$35,6-5)="","",IF(OR(AND(N(INDEX('İzin Planı'!$F$6:$F$35,6-5))&gt;0,INDEX('İzin Planı'!$F$6:$F$35,6-5)&lt;=('Özet'!$C$6+7*36)+6,INDEX('İzin Planı'!$G$6:$G$35,6-5)&gt;=('Özet'!$C$6+7*36)),AND(N(INDEX('İzin Planı'!$I$6:$I$35,6-5))&gt;0,INDEX('İzin Planı'!$I$6:$I$35,6-5)&lt;=('Özet'!$C$6+7*36)+6,INDEX('İzin Planı'!$J$6:$J$35,6-5)&gt;=('Özet'!$C$6+7*36)),AND(N(INDEX('İzin Planı'!$L$6:$L$35,6-5))&gt;0,INDEX('İzin Planı'!$L$6:$L$35,6-5)&lt;=('Özet'!$C$6+7*36)+6,INDEX('İzin Planı'!$M$6:$M$35,6-5)&gt;=('Özet'!$C$6+7*36))),"İ",""))</f>
      </c>
      <c r="AN6" s="13">
        <f>IF(INDEX('İzin Planı'!$C$6:$C$35,6-5)="","",IF(OR(AND(N(INDEX('İzin Planı'!$F$6:$F$35,6-5))&gt;0,INDEX('İzin Planı'!$F$6:$F$35,6-5)&lt;=('Özet'!$C$6+7*37)+6,INDEX('İzin Planı'!$G$6:$G$35,6-5)&gt;=('Özet'!$C$6+7*37)),AND(N(INDEX('İzin Planı'!$I$6:$I$35,6-5))&gt;0,INDEX('İzin Planı'!$I$6:$I$35,6-5)&lt;=('Özet'!$C$6+7*37)+6,INDEX('İzin Planı'!$J$6:$J$35,6-5)&gt;=('Özet'!$C$6+7*37)),AND(N(INDEX('İzin Planı'!$L$6:$L$35,6-5))&gt;0,INDEX('İzin Planı'!$L$6:$L$35,6-5)&lt;=('Özet'!$C$6+7*37)+6,INDEX('İzin Planı'!$M$6:$M$35,6-5)&gt;=('Özet'!$C$6+7*37))),"İ",""))</f>
      </c>
      <c r="AO6" s="13">
        <f>IF(INDEX('İzin Planı'!$C$6:$C$35,6-5)="","",IF(OR(AND(N(INDEX('İzin Planı'!$F$6:$F$35,6-5))&gt;0,INDEX('İzin Planı'!$F$6:$F$35,6-5)&lt;=('Özet'!$C$6+7*38)+6,INDEX('İzin Planı'!$G$6:$G$35,6-5)&gt;=('Özet'!$C$6+7*38)),AND(N(INDEX('İzin Planı'!$I$6:$I$35,6-5))&gt;0,INDEX('İzin Planı'!$I$6:$I$35,6-5)&lt;=('Özet'!$C$6+7*38)+6,INDEX('İzin Planı'!$J$6:$J$35,6-5)&gt;=('Özet'!$C$6+7*38)),AND(N(INDEX('İzin Planı'!$L$6:$L$35,6-5))&gt;0,INDEX('İzin Planı'!$L$6:$L$35,6-5)&lt;=('Özet'!$C$6+7*38)+6,INDEX('İzin Planı'!$M$6:$M$35,6-5)&gt;=('Özet'!$C$6+7*38))),"İ",""))</f>
      </c>
      <c r="AP6" s="13">
        <f>IF(INDEX('İzin Planı'!$C$6:$C$35,6-5)="","",IF(OR(AND(N(INDEX('İzin Planı'!$F$6:$F$35,6-5))&gt;0,INDEX('İzin Planı'!$F$6:$F$35,6-5)&lt;=('Özet'!$C$6+7*39)+6,INDEX('İzin Planı'!$G$6:$G$35,6-5)&gt;=('Özet'!$C$6+7*39)),AND(N(INDEX('İzin Planı'!$I$6:$I$35,6-5))&gt;0,INDEX('İzin Planı'!$I$6:$I$35,6-5)&lt;=('Özet'!$C$6+7*39)+6,INDEX('İzin Planı'!$J$6:$J$35,6-5)&gt;=('Özet'!$C$6+7*39)),AND(N(INDEX('İzin Planı'!$L$6:$L$35,6-5))&gt;0,INDEX('İzin Planı'!$L$6:$L$35,6-5)&lt;=('Özet'!$C$6+7*39)+6,INDEX('İzin Planı'!$M$6:$M$35,6-5)&gt;=('Özet'!$C$6+7*39))),"İ",""))</f>
      </c>
      <c r="AQ6" s="13">
        <f>IF(INDEX('İzin Planı'!$C$6:$C$35,6-5)="","",IF(OR(AND(N(INDEX('İzin Planı'!$F$6:$F$35,6-5))&gt;0,INDEX('İzin Planı'!$F$6:$F$35,6-5)&lt;=('Özet'!$C$6+7*40)+6,INDEX('İzin Planı'!$G$6:$G$35,6-5)&gt;=('Özet'!$C$6+7*40)),AND(N(INDEX('İzin Planı'!$I$6:$I$35,6-5))&gt;0,INDEX('İzin Planı'!$I$6:$I$35,6-5)&lt;=('Özet'!$C$6+7*40)+6,INDEX('İzin Planı'!$J$6:$J$35,6-5)&gt;=('Özet'!$C$6+7*40)),AND(N(INDEX('İzin Planı'!$L$6:$L$35,6-5))&gt;0,INDEX('İzin Planı'!$L$6:$L$35,6-5)&lt;=('Özet'!$C$6+7*40)+6,INDEX('İzin Planı'!$M$6:$M$35,6-5)&gt;=('Özet'!$C$6+7*40))),"İ",""))</f>
      </c>
      <c r="AR6" s="13">
        <f>IF(INDEX('İzin Planı'!$C$6:$C$35,6-5)="","",IF(OR(AND(N(INDEX('İzin Planı'!$F$6:$F$35,6-5))&gt;0,INDEX('İzin Planı'!$F$6:$F$35,6-5)&lt;=('Özet'!$C$6+7*41)+6,INDEX('İzin Planı'!$G$6:$G$35,6-5)&gt;=('Özet'!$C$6+7*41)),AND(N(INDEX('İzin Planı'!$I$6:$I$35,6-5))&gt;0,INDEX('İzin Planı'!$I$6:$I$35,6-5)&lt;=('Özet'!$C$6+7*41)+6,INDEX('İzin Planı'!$J$6:$J$35,6-5)&gt;=('Özet'!$C$6+7*41)),AND(N(INDEX('İzin Planı'!$L$6:$L$35,6-5))&gt;0,INDEX('İzin Planı'!$L$6:$L$35,6-5)&lt;=('Özet'!$C$6+7*41)+6,INDEX('İzin Planı'!$M$6:$M$35,6-5)&gt;=('Özet'!$C$6+7*41))),"İ",""))</f>
      </c>
      <c r="AS6" s="13">
        <f>IF(INDEX('İzin Planı'!$C$6:$C$35,6-5)="","",IF(OR(AND(N(INDEX('İzin Planı'!$F$6:$F$35,6-5))&gt;0,INDEX('İzin Planı'!$F$6:$F$35,6-5)&lt;=('Özet'!$C$6+7*42)+6,INDEX('İzin Planı'!$G$6:$G$35,6-5)&gt;=('Özet'!$C$6+7*42)),AND(N(INDEX('İzin Planı'!$I$6:$I$35,6-5))&gt;0,INDEX('İzin Planı'!$I$6:$I$35,6-5)&lt;=('Özet'!$C$6+7*42)+6,INDEX('İzin Planı'!$J$6:$J$35,6-5)&gt;=('Özet'!$C$6+7*42)),AND(N(INDEX('İzin Planı'!$L$6:$L$35,6-5))&gt;0,INDEX('İzin Planı'!$L$6:$L$35,6-5)&lt;=('Özet'!$C$6+7*42)+6,INDEX('İzin Planı'!$M$6:$M$35,6-5)&gt;=('Özet'!$C$6+7*42))),"İ",""))</f>
      </c>
      <c r="AT6" s="13">
        <f>IF(INDEX('İzin Planı'!$C$6:$C$35,6-5)="","",IF(OR(AND(N(INDEX('İzin Planı'!$F$6:$F$35,6-5))&gt;0,INDEX('İzin Planı'!$F$6:$F$35,6-5)&lt;=('Özet'!$C$6+7*43)+6,INDEX('İzin Planı'!$G$6:$G$35,6-5)&gt;=('Özet'!$C$6+7*43)),AND(N(INDEX('İzin Planı'!$I$6:$I$35,6-5))&gt;0,INDEX('İzin Planı'!$I$6:$I$35,6-5)&lt;=('Özet'!$C$6+7*43)+6,INDEX('İzin Planı'!$J$6:$J$35,6-5)&gt;=('Özet'!$C$6+7*43)),AND(N(INDEX('İzin Planı'!$L$6:$L$35,6-5))&gt;0,INDEX('İzin Planı'!$L$6:$L$35,6-5)&lt;=('Özet'!$C$6+7*43)+6,INDEX('İzin Planı'!$M$6:$M$35,6-5)&gt;=('Özet'!$C$6+7*43))),"İ",""))</f>
      </c>
      <c r="AU6" s="13">
        <f>IF(INDEX('İzin Planı'!$C$6:$C$35,6-5)="","",IF(OR(AND(N(INDEX('İzin Planı'!$F$6:$F$35,6-5))&gt;0,INDEX('İzin Planı'!$F$6:$F$35,6-5)&lt;=('Özet'!$C$6+7*44)+6,INDEX('İzin Planı'!$G$6:$G$35,6-5)&gt;=('Özet'!$C$6+7*44)),AND(N(INDEX('İzin Planı'!$I$6:$I$35,6-5))&gt;0,INDEX('İzin Planı'!$I$6:$I$35,6-5)&lt;=('Özet'!$C$6+7*44)+6,INDEX('İzin Planı'!$J$6:$J$35,6-5)&gt;=('Özet'!$C$6+7*44)),AND(N(INDEX('İzin Planı'!$L$6:$L$35,6-5))&gt;0,INDEX('İzin Planı'!$L$6:$L$35,6-5)&lt;=('Özet'!$C$6+7*44)+6,INDEX('İzin Planı'!$M$6:$M$35,6-5)&gt;=('Özet'!$C$6+7*44))),"İ",""))</f>
      </c>
      <c r="AV6" s="13">
        <f>IF(INDEX('İzin Planı'!$C$6:$C$35,6-5)="","",IF(OR(AND(N(INDEX('İzin Planı'!$F$6:$F$35,6-5))&gt;0,INDEX('İzin Planı'!$F$6:$F$35,6-5)&lt;=('Özet'!$C$6+7*45)+6,INDEX('İzin Planı'!$G$6:$G$35,6-5)&gt;=('Özet'!$C$6+7*45)),AND(N(INDEX('İzin Planı'!$I$6:$I$35,6-5))&gt;0,INDEX('İzin Planı'!$I$6:$I$35,6-5)&lt;=('Özet'!$C$6+7*45)+6,INDEX('İzin Planı'!$J$6:$J$35,6-5)&gt;=('Özet'!$C$6+7*45)),AND(N(INDEX('İzin Planı'!$L$6:$L$35,6-5))&gt;0,INDEX('İzin Planı'!$L$6:$L$35,6-5)&lt;=('Özet'!$C$6+7*45)+6,INDEX('İzin Planı'!$M$6:$M$35,6-5)&gt;=('Özet'!$C$6+7*45))),"İ",""))</f>
      </c>
      <c r="AW6" s="13">
        <f>IF(INDEX('İzin Planı'!$C$6:$C$35,6-5)="","",IF(OR(AND(N(INDEX('İzin Planı'!$F$6:$F$35,6-5))&gt;0,INDEX('İzin Planı'!$F$6:$F$35,6-5)&lt;=('Özet'!$C$6+7*46)+6,INDEX('İzin Planı'!$G$6:$G$35,6-5)&gt;=('Özet'!$C$6+7*46)),AND(N(INDEX('İzin Planı'!$I$6:$I$35,6-5))&gt;0,INDEX('İzin Planı'!$I$6:$I$35,6-5)&lt;=('Özet'!$C$6+7*46)+6,INDEX('İzin Planı'!$J$6:$J$35,6-5)&gt;=('Özet'!$C$6+7*46)),AND(N(INDEX('İzin Planı'!$L$6:$L$35,6-5))&gt;0,INDEX('İzin Planı'!$L$6:$L$35,6-5)&lt;=('Özet'!$C$6+7*46)+6,INDEX('İzin Planı'!$M$6:$M$35,6-5)&gt;=('Özet'!$C$6+7*46))),"İ",""))</f>
      </c>
      <c r="AX6" s="13">
        <f>IF(INDEX('İzin Planı'!$C$6:$C$35,6-5)="","",IF(OR(AND(N(INDEX('İzin Planı'!$F$6:$F$35,6-5))&gt;0,INDEX('İzin Planı'!$F$6:$F$35,6-5)&lt;=('Özet'!$C$6+7*47)+6,INDEX('İzin Planı'!$G$6:$G$35,6-5)&gt;=('Özet'!$C$6+7*47)),AND(N(INDEX('İzin Planı'!$I$6:$I$35,6-5))&gt;0,INDEX('İzin Planı'!$I$6:$I$35,6-5)&lt;=('Özet'!$C$6+7*47)+6,INDEX('İzin Planı'!$J$6:$J$35,6-5)&gt;=('Özet'!$C$6+7*47)),AND(N(INDEX('İzin Planı'!$L$6:$L$35,6-5))&gt;0,INDEX('İzin Planı'!$L$6:$L$35,6-5)&lt;=('Özet'!$C$6+7*47)+6,INDEX('İzin Planı'!$M$6:$M$35,6-5)&gt;=('Özet'!$C$6+7*47))),"İ",""))</f>
      </c>
      <c r="AY6" s="13">
        <f>IF(INDEX('İzin Planı'!$C$6:$C$35,6-5)="","",IF(OR(AND(N(INDEX('İzin Planı'!$F$6:$F$35,6-5))&gt;0,INDEX('İzin Planı'!$F$6:$F$35,6-5)&lt;=('Özet'!$C$6+7*48)+6,INDEX('İzin Planı'!$G$6:$G$35,6-5)&gt;=('Özet'!$C$6+7*48)),AND(N(INDEX('İzin Planı'!$I$6:$I$35,6-5))&gt;0,INDEX('İzin Planı'!$I$6:$I$35,6-5)&lt;=('Özet'!$C$6+7*48)+6,INDEX('İzin Planı'!$J$6:$J$35,6-5)&gt;=('Özet'!$C$6+7*48)),AND(N(INDEX('İzin Planı'!$L$6:$L$35,6-5))&gt;0,INDEX('İzin Planı'!$L$6:$L$35,6-5)&lt;=('Özet'!$C$6+7*48)+6,INDEX('İzin Planı'!$M$6:$M$35,6-5)&gt;=('Özet'!$C$6+7*48))),"İ",""))</f>
      </c>
      <c r="AZ6" s="13">
        <f>IF(INDEX('İzin Planı'!$C$6:$C$35,6-5)="","",IF(OR(AND(N(INDEX('İzin Planı'!$F$6:$F$35,6-5))&gt;0,INDEX('İzin Planı'!$F$6:$F$35,6-5)&lt;=('Özet'!$C$6+7*49)+6,INDEX('İzin Planı'!$G$6:$G$35,6-5)&gt;=('Özet'!$C$6+7*49)),AND(N(INDEX('İzin Planı'!$I$6:$I$35,6-5))&gt;0,INDEX('İzin Planı'!$I$6:$I$35,6-5)&lt;=('Özet'!$C$6+7*49)+6,INDEX('İzin Planı'!$J$6:$J$35,6-5)&gt;=('Özet'!$C$6+7*49)),AND(N(INDEX('İzin Planı'!$L$6:$L$35,6-5))&gt;0,INDEX('İzin Planı'!$L$6:$L$35,6-5)&lt;=('Özet'!$C$6+7*49)+6,INDEX('İzin Planı'!$M$6:$M$35,6-5)&gt;=('Özet'!$C$6+7*49))),"İ",""))</f>
      </c>
      <c r="BA6" s="13">
        <f>IF(INDEX('İzin Planı'!$C$6:$C$35,6-5)="","",IF(OR(AND(N(INDEX('İzin Planı'!$F$6:$F$35,6-5))&gt;0,INDEX('İzin Planı'!$F$6:$F$35,6-5)&lt;=('Özet'!$C$6+7*50)+6,INDEX('İzin Planı'!$G$6:$G$35,6-5)&gt;=('Özet'!$C$6+7*50)),AND(N(INDEX('İzin Planı'!$I$6:$I$35,6-5))&gt;0,INDEX('İzin Planı'!$I$6:$I$35,6-5)&lt;=('Özet'!$C$6+7*50)+6,INDEX('İzin Planı'!$J$6:$J$35,6-5)&gt;=('Özet'!$C$6+7*50)),AND(N(INDEX('İzin Planı'!$L$6:$L$35,6-5))&gt;0,INDEX('İzin Planı'!$L$6:$L$35,6-5)&lt;=('Özet'!$C$6+7*50)+6,INDEX('İzin Planı'!$M$6:$M$35,6-5)&gt;=('Özet'!$C$6+7*50))),"İ",""))</f>
      </c>
      <c r="BB6" s="13">
        <f>IF(INDEX('İzin Planı'!$C$6:$C$35,6-5)="","",IF(OR(AND(N(INDEX('İzin Planı'!$F$6:$F$35,6-5))&gt;0,INDEX('İzin Planı'!$F$6:$F$35,6-5)&lt;=('Özet'!$C$6+7*51)+6,INDEX('İzin Planı'!$G$6:$G$35,6-5)&gt;=('Özet'!$C$6+7*51)),AND(N(INDEX('İzin Planı'!$I$6:$I$35,6-5))&gt;0,INDEX('İzin Planı'!$I$6:$I$35,6-5)&lt;=('Özet'!$C$6+7*51)+6,INDEX('İzin Planı'!$J$6:$J$35,6-5)&gt;=('Özet'!$C$6+7*51)),AND(N(INDEX('İzin Planı'!$L$6:$L$35,6-5))&gt;0,INDEX('İzin Planı'!$L$6:$L$35,6-5)&lt;=('Özet'!$C$6+7*51)+6,INDEX('İzin Planı'!$M$6:$M$35,6-5)&gt;=('Özet'!$C$6+7*51))),"İ",""))</f>
      </c>
      <c r="BC6" s="13">
        <f>IF(INDEX('İzin Planı'!$C$6:$C$35,6-5)="","",IF(OR(AND(N(INDEX('İzin Planı'!$F$6:$F$35,6-5))&gt;0,INDEX('İzin Planı'!$F$6:$F$35,6-5)&lt;=('Özet'!$C$6+7*52)+6,INDEX('İzin Planı'!$G$6:$G$35,6-5)&gt;=('Özet'!$C$6+7*52)),AND(N(INDEX('İzin Planı'!$I$6:$I$35,6-5))&gt;0,INDEX('İzin Planı'!$I$6:$I$35,6-5)&lt;=('Özet'!$C$6+7*52)+6,INDEX('İzin Planı'!$J$6:$J$35,6-5)&gt;=('Özet'!$C$6+7*52)),AND(N(INDEX('İzin Planı'!$L$6:$L$35,6-5))&gt;0,INDEX('İzin Planı'!$L$6:$L$35,6-5)&lt;=('Özet'!$C$6+7*52)+6,INDEX('İzin Planı'!$M$6:$M$35,6-5)&gt;=('Özet'!$C$6+7*52))),"İ",""))</f>
      </c>
    </row>
    <row r="7" ht="18" customHeight="1" spans="1:55" x14ac:dyDescent="0.25">
      <c r="A7" s="6">
        <v>2</v>
      </c>
      <c r="B7" s="13">
        <f>IF(INDEX('İzin Planı'!$C$6:$C$35,7-5)="","",INDEX('İzin Planı'!$C$6:$C$35,7-5))</f>
      </c>
      <c r="C7" s="13">
        <f>IF(INDEX('İzin Planı'!$C$6:$C$35,7-5)="","",IF(OR(AND(N(INDEX('İzin Planı'!$F$6:$F$35,7-5))&gt;0,INDEX('İzin Planı'!$F$6:$F$35,7-5)&lt;=('Özet'!$C$6+7*0)+6,INDEX('İzin Planı'!$G$6:$G$35,7-5)&gt;=('Özet'!$C$6+7*0)),AND(N(INDEX('İzin Planı'!$I$6:$I$35,7-5))&gt;0,INDEX('İzin Planı'!$I$6:$I$35,7-5)&lt;=('Özet'!$C$6+7*0)+6,INDEX('İzin Planı'!$J$6:$J$35,7-5)&gt;=('Özet'!$C$6+7*0)),AND(N(INDEX('İzin Planı'!$L$6:$L$35,7-5))&gt;0,INDEX('İzin Planı'!$L$6:$L$35,7-5)&lt;=('Özet'!$C$6+7*0)+6,INDEX('İzin Planı'!$M$6:$M$35,7-5)&gt;=('Özet'!$C$6+7*0))),"İ",""))</f>
      </c>
      <c r="D7" s="13">
        <f>IF(INDEX('İzin Planı'!$C$6:$C$35,7-5)="","",IF(OR(AND(N(INDEX('İzin Planı'!$F$6:$F$35,7-5))&gt;0,INDEX('İzin Planı'!$F$6:$F$35,7-5)&lt;=('Özet'!$C$6+7*1)+6,INDEX('İzin Planı'!$G$6:$G$35,7-5)&gt;=('Özet'!$C$6+7*1)),AND(N(INDEX('İzin Planı'!$I$6:$I$35,7-5))&gt;0,INDEX('İzin Planı'!$I$6:$I$35,7-5)&lt;=('Özet'!$C$6+7*1)+6,INDEX('İzin Planı'!$J$6:$J$35,7-5)&gt;=('Özet'!$C$6+7*1)),AND(N(INDEX('İzin Planı'!$L$6:$L$35,7-5))&gt;0,INDEX('İzin Planı'!$L$6:$L$35,7-5)&lt;=('Özet'!$C$6+7*1)+6,INDEX('İzin Planı'!$M$6:$M$35,7-5)&gt;=('Özet'!$C$6+7*1))),"İ",""))</f>
      </c>
      <c r="E7" s="13">
        <f>IF(INDEX('İzin Planı'!$C$6:$C$35,7-5)="","",IF(OR(AND(N(INDEX('İzin Planı'!$F$6:$F$35,7-5))&gt;0,INDEX('İzin Planı'!$F$6:$F$35,7-5)&lt;=('Özet'!$C$6+7*2)+6,INDEX('İzin Planı'!$G$6:$G$35,7-5)&gt;=('Özet'!$C$6+7*2)),AND(N(INDEX('İzin Planı'!$I$6:$I$35,7-5))&gt;0,INDEX('İzin Planı'!$I$6:$I$35,7-5)&lt;=('Özet'!$C$6+7*2)+6,INDEX('İzin Planı'!$J$6:$J$35,7-5)&gt;=('Özet'!$C$6+7*2)),AND(N(INDEX('İzin Planı'!$L$6:$L$35,7-5))&gt;0,INDEX('İzin Planı'!$L$6:$L$35,7-5)&lt;=('Özet'!$C$6+7*2)+6,INDEX('İzin Planı'!$M$6:$M$35,7-5)&gt;=('Özet'!$C$6+7*2))),"İ",""))</f>
      </c>
      <c r="F7" s="13">
        <f>IF(INDEX('İzin Planı'!$C$6:$C$35,7-5)="","",IF(OR(AND(N(INDEX('İzin Planı'!$F$6:$F$35,7-5))&gt;0,INDEX('İzin Planı'!$F$6:$F$35,7-5)&lt;=('Özet'!$C$6+7*3)+6,INDEX('İzin Planı'!$G$6:$G$35,7-5)&gt;=('Özet'!$C$6+7*3)),AND(N(INDEX('İzin Planı'!$I$6:$I$35,7-5))&gt;0,INDEX('İzin Planı'!$I$6:$I$35,7-5)&lt;=('Özet'!$C$6+7*3)+6,INDEX('İzin Planı'!$J$6:$J$35,7-5)&gt;=('Özet'!$C$6+7*3)),AND(N(INDEX('İzin Planı'!$L$6:$L$35,7-5))&gt;0,INDEX('İzin Planı'!$L$6:$L$35,7-5)&lt;=('Özet'!$C$6+7*3)+6,INDEX('İzin Planı'!$M$6:$M$35,7-5)&gt;=('Özet'!$C$6+7*3))),"İ",""))</f>
      </c>
      <c r="G7" s="13">
        <f>IF(INDEX('İzin Planı'!$C$6:$C$35,7-5)="","",IF(OR(AND(N(INDEX('İzin Planı'!$F$6:$F$35,7-5))&gt;0,INDEX('İzin Planı'!$F$6:$F$35,7-5)&lt;=('Özet'!$C$6+7*4)+6,INDEX('İzin Planı'!$G$6:$G$35,7-5)&gt;=('Özet'!$C$6+7*4)),AND(N(INDEX('İzin Planı'!$I$6:$I$35,7-5))&gt;0,INDEX('İzin Planı'!$I$6:$I$35,7-5)&lt;=('Özet'!$C$6+7*4)+6,INDEX('İzin Planı'!$J$6:$J$35,7-5)&gt;=('Özet'!$C$6+7*4)),AND(N(INDEX('İzin Planı'!$L$6:$L$35,7-5))&gt;0,INDEX('İzin Planı'!$L$6:$L$35,7-5)&lt;=('Özet'!$C$6+7*4)+6,INDEX('İzin Planı'!$M$6:$M$35,7-5)&gt;=('Özet'!$C$6+7*4))),"İ",""))</f>
      </c>
      <c r="H7" s="13">
        <f>IF(INDEX('İzin Planı'!$C$6:$C$35,7-5)="","",IF(OR(AND(N(INDEX('İzin Planı'!$F$6:$F$35,7-5))&gt;0,INDEX('İzin Planı'!$F$6:$F$35,7-5)&lt;=('Özet'!$C$6+7*5)+6,INDEX('İzin Planı'!$G$6:$G$35,7-5)&gt;=('Özet'!$C$6+7*5)),AND(N(INDEX('İzin Planı'!$I$6:$I$35,7-5))&gt;0,INDEX('İzin Planı'!$I$6:$I$35,7-5)&lt;=('Özet'!$C$6+7*5)+6,INDEX('İzin Planı'!$J$6:$J$35,7-5)&gt;=('Özet'!$C$6+7*5)),AND(N(INDEX('İzin Planı'!$L$6:$L$35,7-5))&gt;0,INDEX('İzin Planı'!$L$6:$L$35,7-5)&lt;=('Özet'!$C$6+7*5)+6,INDEX('İzin Planı'!$M$6:$M$35,7-5)&gt;=('Özet'!$C$6+7*5))),"İ",""))</f>
      </c>
      <c r="I7" s="13">
        <f>IF(INDEX('İzin Planı'!$C$6:$C$35,7-5)="","",IF(OR(AND(N(INDEX('İzin Planı'!$F$6:$F$35,7-5))&gt;0,INDEX('İzin Planı'!$F$6:$F$35,7-5)&lt;=('Özet'!$C$6+7*6)+6,INDEX('İzin Planı'!$G$6:$G$35,7-5)&gt;=('Özet'!$C$6+7*6)),AND(N(INDEX('İzin Planı'!$I$6:$I$35,7-5))&gt;0,INDEX('İzin Planı'!$I$6:$I$35,7-5)&lt;=('Özet'!$C$6+7*6)+6,INDEX('İzin Planı'!$J$6:$J$35,7-5)&gt;=('Özet'!$C$6+7*6)),AND(N(INDEX('İzin Planı'!$L$6:$L$35,7-5))&gt;0,INDEX('İzin Planı'!$L$6:$L$35,7-5)&lt;=('Özet'!$C$6+7*6)+6,INDEX('İzin Planı'!$M$6:$M$35,7-5)&gt;=('Özet'!$C$6+7*6))),"İ",""))</f>
      </c>
      <c r="J7" s="13">
        <f>IF(INDEX('İzin Planı'!$C$6:$C$35,7-5)="","",IF(OR(AND(N(INDEX('İzin Planı'!$F$6:$F$35,7-5))&gt;0,INDEX('İzin Planı'!$F$6:$F$35,7-5)&lt;=('Özet'!$C$6+7*7)+6,INDEX('İzin Planı'!$G$6:$G$35,7-5)&gt;=('Özet'!$C$6+7*7)),AND(N(INDEX('İzin Planı'!$I$6:$I$35,7-5))&gt;0,INDEX('İzin Planı'!$I$6:$I$35,7-5)&lt;=('Özet'!$C$6+7*7)+6,INDEX('İzin Planı'!$J$6:$J$35,7-5)&gt;=('Özet'!$C$6+7*7)),AND(N(INDEX('İzin Planı'!$L$6:$L$35,7-5))&gt;0,INDEX('İzin Planı'!$L$6:$L$35,7-5)&lt;=('Özet'!$C$6+7*7)+6,INDEX('İzin Planı'!$M$6:$M$35,7-5)&gt;=('Özet'!$C$6+7*7))),"İ",""))</f>
      </c>
      <c r="K7" s="13">
        <f>IF(INDEX('İzin Planı'!$C$6:$C$35,7-5)="","",IF(OR(AND(N(INDEX('İzin Planı'!$F$6:$F$35,7-5))&gt;0,INDEX('İzin Planı'!$F$6:$F$35,7-5)&lt;=('Özet'!$C$6+7*8)+6,INDEX('İzin Planı'!$G$6:$G$35,7-5)&gt;=('Özet'!$C$6+7*8)),AND(N(INDEX('İzin Planı'!$I$6:$I$35,7-5))&gt;0,INDEX('İzin Planı'!$I$6:$I$35,7-5)&lt;=('Özet'!$C$6+7*8)+6,INDEX('İzin Planı'!$J$6:$J$35,7-5)&gt;=('Özet'!$C$6+7*8)),AND(N(INDEX('İzin Planı'!$L$6:$L$35,7-5))&gt;0,INDEX('İzin Planı'!$L$6:$L$35,7-5)&lt;=('Özet'!$C$6+7*8)+6,INDEX('İzin Planı'!$M$6:$M$35,7-5)&gt;=('Özet'!$C$6+7*8))),"İ",""))</f>
      </c>
      <c r="L7" s="13">
        <f>IF(INDEX('İzin Planı'!$C$6:$C$35,7-5)="","",IF(OR(AND(N(INDEX('İzin Planı'!$F$6:$F$35,7-5))&gt;0,INDEX('İzin Planı'!$F$6:$F$35,7-5)&lt;=('Özet'!$C$6+7*9)+6,INDEX('İzin Planı'!$G$6:$G$35,7-5)&gt;=('Özet'!$C$6+7*9)),AND(N(INDEX('İzin Planı'!$I$6:$I$35,7-5))&gt;0,INDEX('İzin Planı'!$I$6:$I$35,7-5)&lt;=('Özet'!$C$6+7*9)+6,INDEX('İzin Planı'!$J$6:$J$35,7-5)&gt;=('Özet'!$C$6+7*9)),AND(N(INDEX('İzin Planı'!$L$6:$L$35,7-5))&gt;0,INDEX('İzin Planı'!$L$6:$L$35,7-5)&lt;=('Özet'!$C$6+7*9)+6,INDEX('İzin Planı'!$M$6:$M$35,7-5)&gt;=('Özet'!$C$6+7*9))),"İ",""))</f>
      </c>
      <c r="M7" s="13">
        <f>IF(INDEX('İzin Planı'!$C$6:$C$35,7-5)="","",IF(OR(AND(N(INDEX('İzin Planı'!$F$6:$F$35,7-5))&gt;0,INDEX('İzin Planı'!$F$6:$F$35,7-5)&lt;=('Özet'!$C$6+7*10)+6,INDEX('İzin Planı'!$G$6:$G$35,7-5)&gt;=('Özet'!$C$6+7*10)),AND(N(INDEX('İzin Planı'!$I$6:$I$35,7-5))&gt;0,INDEX('İzin Planı'!$I$6:$I$35,7-5)&lt;=('Özet'!$C$6+7*10)+6,INDEX('İzin Planı'!$J$6:$J$35,7-5)&gt;=('Özet'!$C$6+7*10)),AND(N(INDEX('İzin Planı'!$L$6:$L$35,7-5))&gt;0,INDEX('İzin Planı'!$L$6:$L$35,7-5)&lt;=('Özet'!$C$6+7*10)+6,INDEX('İzin Planı'!$M$6:$M$35,7-5)&gt;=('Özet'!$C$6+7*10))),"İ",""))</f>
      </c>
      <c r="N7" s="13">
        <f>IF(INDEX('İzin Planı'!$C$6:$C$35,7-5)="","",IF(OR(AND(N(INDEX('İzin Planı'!$F$6:$F$35,7-5))&gt;0,INDEX('İzin Planı'!$F$6:$F$35,7-5)&lt;=('Özet'!$C$6+7*11)+6,INDEX('İzin Planı'!$G$6:$G$35,7-5)&gt;=('Özet'!$C$6+7*11)),AND(N(INDEX('İzin Planı'!$I$6:$I$35,7-5))&gt;0,INDEX('İzin Planı'!$I$6:$I$35,7-5)&lt;=('Özet'!$C$6+7*11)+6,INDEX('İzin Planı'!$J$6:$J$35,7-5)&gt;=('Özet'!$C$6+7*11)),AND(N(INDEX('İzin Planı'!$L$6:$L$35,7-5))&gt;0,INDEX('İzin Planı'!$L$6:$L$35,7-5)&lt;=('Özet'!$C$6+7*11)+6,INDEX('İzin Planı'!$M$6:$M$35,7-5)&gt;=('Özet'!$C$6+7*11))),"İ",""))</f>
      </c>
      <c r="O7" s="13">
        <f>IF(INDEX('İzin Planı'!$C$6:$C$35,7-5)="","",IF(OR(AND(N(INDEX('İzin Planı'!$F$6:$F$35,7-5))&gt;0,INDEX('İzin Planı'!$F$6:$F$35,7-5)&lt;=('Özet'!$C$6+7*12)+6,INDEX('İzin Planı'!$G$6:$G$35,7-5)&gt;=('Özet'!$C$6+7*12)),AND(N(INDEX('İzin Planı'!$I$6:$I$35,7-5))&gt;0,INDEX('İzin Planı'!$I$6:$I$35,7-5)&lt;=('Özet'!$C$6+7*12)+6,INDEX('İzin Planı'!$J$6:$J$35,7-5)&gt;=('Özet'!$C$6+7*12)),AND(N(INDEX('İzin Planı'!$L$6:$L$35,7-5))&gt;0,INDEX('İzin Planı'!$L$6:$L$35,7-5)&lt;=('Özet'!$C$6+7*12)+6,INDEX('İzin Planı'!$M$6:$M$35,7-5)&gt;=('Özet'!$C$6+7*12))),"İ",""))</f>
      </c>
      <c r="P7" s="13">
        <f>IF(INDEX('İzin Planı'!$C$6:$C$35,7-5)="","",IF(OR(AND(N(INDEX('İzin Planı'!$F$6:$F$35,7-5))&gt;0,INDEX('İzin Planı'!$F$6:$F$35,7-5)&lt;=('Özet'!$C$6+7*13)+6,INDEX('İzin Planı'!$G$6:$G$35,7-5)&gt;=('Özet'!$C$6+7*13)),AND(N(INDEX('İzin Planı'!$I$6:$I$35,7-5))&gt;0,INDEX('İzin Planı'!$I$6:$I$35,7-5)&lt;=('Özet'!$C$6+7*13)+6,INDEX('İzin Planı'!$J$6:$J$35,7-5)&gt;=('Özet'!$C$6+7*13)),AND(N(INDEX('İzin Planı'!$L$6:$L$35,7-5))&gt;0,INDEX('İzin Planı'!$L$6:$L$35,7-5)&lt;=('Özet'!$C$6+7*13)+6,INDEX('İzin Planı'!$M$6:$M$35,7-5)&gt;=('Özet'!$C$6+7*13))),"İ",""))</f>
      </c>
      <c r="Q7" s="13">
        <f>IF(INDEX('İzin Planı'!$C$6:$C$35,7-5)="","",IF(OR(AND(N(INDEX('İzin Planı'!$F$6:$F$35,7-5))&gt;0,INDEX('İzin Planı'!$F$6:$F$35,7-5)&lt;=('Özet'!$C$6+7*14)+6,INDEX('İzin Planı'!$G$6:$G$35,7-5)&gt;=('Özet'!$C$6+7*14)),AND(N(INDEX('İzin Planı'!$I$6:$I$35,7-5))&gt;0,INDEX('İzin Planı'!$I$6:$I$35,7-5)&lt;=('Özet'!$C$6+7*14)+6,INDEX('İzin Planı'!$J$6:$J$35,7-5)&gt;=('Özet'!$C$6+7*14)),AND(N(INDEX('İzin Planı'!$L$6:$L$35,7-5))&gt;0,INDEX('İzin Planı'!$L$6:$L$35,7-5)&lt;=('Özet'!$C$6+7*14)+6,INDEX('İzin Planı'!$M$6:$M$35,7-5)&gt;=('Özet'!$C$6+7*14))),"İ",""))</f>
      </c>
      <c r="R7" s="13">
        <f>IF(INDEX('İzin Planı'!$C$6:$C$35,7-5)="","",IF(OR(AND(N(INDEX('İzin Planı'!$F$6:$F$35,7-5))&gt;0,INDEX('İzin Planı'!$F$6:$F$35,7-5)&lt;=('Özet'!$C$6+7*15)+6,INDEX('İzin Planı'!$G$6:$G$35,7-5)&gt;=('Özet'!$C$6+7*15)),AND(N(INDEX('İzin Planı'!$I$6:$I$35,7-5))&gt;0,INDEX('İzin Planı'!$I$6:$I$35,7-5)&lt;=('Özet'!$C$6+7*15)+6,INDEX('İzin Planı'!$J$6:$J$35,7-5)&gt;=('Özet'!$C$6+7*15)),AND(N(INDEX('İzin Planı'!$L$6:$L$35,7-5))&gt;0,INDEX('İzin Planı'!$L$6:$L$35,7-5)&lt;=('Özet'!$C$6+7*15)+6,INDEX('İzin Planı'!$M$6:$M$35,7-5)&gt;=('Özet'!$C$6+7*15))),"İ",""))</f>
      </c>
      <c r="S7" s="13">
        <f>IF(INDEX('İzin Planı'!$C$6:$C$35,7-5)="","",IF(OR(AND(N(INDEX('İzin Planı'!$F$6:$F$35,7-5))&gt;0,INDEX('İzin Planı'!$F$6:$F$35,7-5)&lt;=('Özet'!$C$6+7*16)+6,INDEX('İzin Planı'!$G$6:$G$35,7-5)&gt;=('Özet'!$C$6+7*16)),AND(N(INDEX('İzin Planı'!$I$6:$I$35,7-5))&gt;0,INDEX('İzin Planı'!$I$6:$I$35,7-5)&lt;=('Özet'!$C$6+7*16)+6,INDEX('İzin Planı'!$J$6:$J$35,7-5)&gt;=('Özet'!$C$6+7*16)),AND(N(INDEX('İzin Planı'!$L$6:$L$35,7-5))&gt;0,INDEX('İzin Planı'!$L$6:$L$35,7-5)&lt;=('Özet'!$C$6+7*16)+6,INDEX('İzin Planı'!$M$6:$M$35,7-5)&gt;=('Özet'!$C$6+7*16))),"İ",""))</f>
      </c>
      <c r="T7" s="13">
        <f>IF(INDEX('İzin Planı'!$C$6:$C$35,7-5)="","",IF(OR(AND(N(INDEX('İzin Planı'!$F$6:$F$35,7-5))&gt;0,INDEX('İzin Planı'!$F$6:$F$35,7-5)&lt;=('Özet'!$C$6+7*17)+6,INDEX('İzin Planı'!$G$6:$G$35,7-5)&gt;=('Özet'!$C$6+7*17)),AND(N(INDEX('İzin Planı'!$I$6:$I$35,7-5))&gt;0,INDEX('İzin Planı'!$I$6:$I$35,7-5)&lt;=('Özet'!$C$6+7*17)+6,INDEX('İzin Planı'!$J$6:$J$35,7-5)&gt;=('Özet'!$C$6+7*17)),AND(N(INDEX('İzin Planı'!$L$6:$L$35,7-5))&gt;0,INDEX('İzin Planı'!$L$6:$L$35,7-5)&lt;=('Özet'!$C$6+7*17)+6,INDEX('İzin Planı'!$M$6:$M$35,7-5)&gt;=('Özet'!$C$6+7*17))),"İ",""))</f>
      </c>
      <c r="U7" s="13">
        <f>IF(INDEX('İzin Planı'!$C$6:$C$35,7-5)="","",IF(OR(AND(N(INDEX('İzin Planı'!$F$6:$F$35,7-5))&gt;0,INDEX('İzin Planı'!$F$6:$F$35,7-5)&lt;=('Özet'!$C$6+7*18)+6,INDEX('İzin Planı'!$G$6:$G$35,7-5)&gt;=('Özet'!$C$6+7*18)),AND(N(INDEX('İzin Planı'!$I$6:$I$35,7-5))&gt;0,INDEX('İzin Planı'!$I$6:$I$35,7-5)&lt;=('Özet'!$C$6+7*18)+6,INDEX('İzin Planı'!$J$6:$J$35,7-5)&gt;=('Özet'!$C$6+7*18)),AND(N(INDEX('İzin Planı'!$L$6:$L$35,7-5))&gt;0,INDEX('İzin Planı'!$L$6:$L$35,7-5)&lt;=('Özet'!$C$6+7*18)+6,INDEX('İzin Planı'!$M$6:$M$35,7-5)&gt;=('Özet'!$C$6+7*18))),"İ",""))</f>
      </c>
      <c r="V7" s="13">
        <f>IF(INDEX('İzin Planı'!$C$6:$C$35,7-5)="","",IF(OR(AND(N(INDEX('İzin Planı'!$F$6:$F$35,7-5))&gt;0,INDEX('İzin Planı'!$F$6:$F$35,7-5)&lt;=('Özet'!$C$6+7*19)+6,INDEX('İzin Planı'!$G$6:$G$35,7-5)&gt;=('Özet'!$C$6+7*19)),AND(N(INDEX('İzin Planı'!$I$6:$I$35,7-5))&gt;0,INDEX('İzin Planı'!$I$6:$I$35,7-5)&lt;=('Özet'!$C$6+7*19)+6,INDEX('İzin Planı'!$J$6:$J$35,7-5)&gt;=('Özet'!$C$6+7*19)),AND(N(INDEX('İzin Planı'!$L$6:$L$35,7-5))&gt;0,INDEX('İzin Planı'!$L$6:$L$35,7-5)&lt;=('Özet'!$C$6+7*19)+6,INDEX('İzin Planı'!$M$6:$M$35,7-5)&gt;=('Özet'!$C$6+7*19))),"İ",""))</f>
      </c>
      <c r="W7" s="13">
        <f>IF(INDEX('İzin Planı'!$C$6:$C$35,7-5)="","",IF(OR(AND(N(INDEX('İzin Planı'!$F$6:$F$35,7-5))&gt;0,INDEX('İzin Planı'!$F$6:$F$35,7-5)&lt;=('Özet'!$C$6+7*20)+6,INDEX('İzin Planı'!$G$6:$G$35,7-5)&gt;=('Özet'!$C$6+7*20)),AND(N(INDEX('İzin Planı'!$I$6:$I$35,7-5))&gt;0,INDEX('İzin Planı'!$I$6:$I$35,7-5)&lt;=('Özet'!$C$6+7*20)+6,INDEX('İzin Planı'!$J$6:$J$35,7-5)&gt;=('Özet'!$C$6+7*20)),AND(N(INDEX('İzin Planı'!$L$6:$L$35,7-5))&gt;0,INDEX('İzin Planı'!$L$6:$L$35,7-5)&lt;=('Özet'!$C$6+7*20)+6,INDEX('İzin Planı'!$M$6:$M$35,7-5)&gt;=('Özet'!$C$6+7*20))),"İ",""))</f>
      </c>
      <c r="X7" s="13">
        <f>IF(INDEX('İzin Planı'!$C$6:$C$35,7-5)="","",IF(OR(AND(N(INDEX('İzin Planı'!$F$6:$F$35,7-5))&gt;0,INDEX('İzin Planı'!$F$6:$F$35,7-5)&lt;=('Özet'!$C$6+7*21)+6,INDEX('İzin Planı'!$G$6:$G$35,7-5)&gt;=('Özet'!$C$6+7*21)),AND(N(INDEX('İzin Planı'!$I$6:$I$35,7-5))&gt;0,INDEX('İzin Planı'!$I$6:$I$35,7-5)&lt;=('Özet'!$C$6+7*21)+6,INDEX('İzin Planı'!$J$6:$J$35,7-5)&gt;=('Özet'!$C$6+7*21)),AND(N(INDEX('İzin Planı'!$L$6:$L$35,7-5))&gt;0,INDEX('İzin Planı'!$L$6:$L$35,7-5)&lt;=('Özet'!$C$6+7*21)+6,INDEX('İzin Planı'!$M$6:$M$35,7-5)&gt;=('Özet'!$C$6+7*21))),"İ",""))</f>
      </c>
      <c r="Y7" s="13">
        <f>IF(INDEX('İzin Planı'!$C$6:$C$35,7-5)="","",IF(OR(AND(N(INDEX('İzin Planı'!$F$6:$F$35,7-5))&gt;0,INDEX('İzin Planı'!$F$6:$F$35,7-5)&lt;=('Özet'!$C$6+7*22)+6,INDEX('İzin Planı'!$G$6:$G$35,7-5)&gt;=('Özet'!$C$6+7*22)),AND(N(INDEX('İzin Planı'!$I$6:$I$35,7-5))&gt;0,INDEX('İzin Planı'!$I$6:$I$35,7-5)&lt;=('Özet'!$C$6+7*22)+6,INDEX('İzin Planı'!$J$6:$J$35,7-5)&gt;=('Özet'!$C$6+7*22)),AND(N(INDEX('İzin Planı'!$L$6:$L$35,7-5))&gt;0,INDEX('İzin Planı'!$L$6:$L$35,7-5)&lt;=('Özet'!$C$6+7*22)+6,INDEX('İzin Planı'!$M$6:$M$35,7-5)&gt;=('Özet'!$C$6+7*22))),"İ",""))</f>
      </c>
      <c r="Z7" s="13">
        <f>IF(INDEX('İzin Planı'!$C$6:$C$35,7-5)="","",IF(OR(AND(N(INDEX('İzin Planı'!$F$6:$F$35,7-5))&gt;0,INDEX('İzin Planı'!$F$6:$F$35,7-5)&lt;=('Özet'!$C$6+7*23)+6,INDEX('İzin Planı'!$G$6:$G$35,7-5)&gt;=('Özet'!$C$6+7*23)),AND(N(INDEX('İzin Planı'!$I$6:$I$35,7-5))&gt;0,INDEX('İzin Planı'!$I$6:$I$35,7-5)&lt;=('Özet'!$C$6+7*23)+6,INDEX('İzin Planı'!$J$6:$J$35,7-5)&gt;=('Özet'!$C$6+7*23)),AND(N(INDEX('İzin Planı'!$L$6:$L$35,7-5))&gt;0,INDEX('İzin Planı'!$L$6:$L$35,7-5)&lt;=('Özet'!$C$6+7*23)+6,INDEX('İzin Planı'!$M$6:$M$35,7-5)&gt;=('Özet'!$C$6+7*23))),"İ",""))</f>
      </c>
      <c r="AA7" s="13">
        <f>IF(INDEX('İzin Planı'!$C$6:$C$35,7-5)="","",IF(OR(AND(N(INDEX('İzin Planı'!$F$6:$F$35,7-5))&gt;0,INDEX('İzin Planı'!$F$6:$F$35,7-5)&lt;=('Özet'!$C$6+7*24)+6,INDEX('İzin Planı'!$G$6:$G$35,7-5)&gt;=('Özet'!$C$6+7*24)),AND(N(INDEX('İzin Planı'!$I$6:$I$35,7-5))&gt;0,INDEX('İzin Planı'!$I$6:$I$35,7-5)&lt;=('Özet'!$C$6+7*24)+6,INDEX('İzin Planı'!$J$6:$J$35,7-5)&gt;=('Özet'!$C$6+7*24)),AND(N(INDEX('İzin Planı'!$L$6:$L$35,7-5))&gt;0,INDEX('İzin Planı'!$L$6:$L$35,7-5)&lt;=('Özet'!$C$6+7*24)+6,INDEX('İzin Planı'!$M$6:$M$35,7-5)&gt;=('Özet'!$C$6+7*24))),"İ",""))</f>
      </c>
      <c r="AB7" s="13">
        <f>IF(INDEX('İzin Planı'!$C$6:$C$35,7-5)="","",IF(OR(AND(N(INDEX('İzin Planı'!$F$6:$F$35,7-5))&gt;0,INDEX('İzin Planı'!$F$6:$F$35,7-5)&lt;=('Özet'!$C$6+7*25)+6,INDEX('İzin Planı'!$G$6:$G$35,7-5)&gt;=('Özet'!$C$6+7*25)),AND(N(INDEX('İzin Planı'!$I$6:$I$35,7-5))&gt;0,INDEX('İzin Planı'!$I$6:$I$35,7-5)&lt;=('Özet'!$C$6+7*25)+6,INDEX('İzin Planı'!$J$6:$J$35,7-5)&gt;=('Özet'!$C$6+7*25)),AND(N(INDEX('İzin Planı'!$L$6:$L$35,7-5))&gt;0,INDEX('İzin Planı'!$L$6:$L$35,7-5)&lt;=('Özet'!$C$6+7*25)+6,INDEX('İzin Planı'!$M$6:$M$35,7-5)&gt;=('Özet'!$C$6+7*25))),"İ",""))</f>
      </c>
      <c r="AC7" s="13">
        <f>IF(INDEX('İzin Planı'!$C$6:$C$35,7-5)="","",IF(OR(AND(N(INDEX('İzin Planı'!$F$6:$F$35,7-5))&gt;0,INDEX('İzin Planı'!$F$6:$F$35,7-5)&lt;=('Özet'!$C$6+7*26)+6,INDEX('İzin Planı'!$G$6:$G$35,7-5)&gt;=('Özet'!$C$6+7*26)),AND(N(INDEX('İzin Planı'!$I$6:$I$35,7-5))&gt;0,INDEX('İzin Planı'!$I$6:$I$35,7-5)&lt;=('Özet'!$C$6+7*26)+6,INDEX('İzin Planı'!$J$6:$J$35,7-5)&gt;=('Özet'!$C$6+7*26)),AND(N(INDEX('İzin Planı'!$L$6:$L$35,7-5))&gt;0,INDEX('İzin Planı'!$L$6:$L$35,7-5)&lt;=('Özet'!$C$6+7*26)+6,INDEX('İzin Planı'!$M$6:$M$35,7-5)&gt;=('Özet'!$C$6+7*26))),"İ",""))</f>
      </c>
      <c r="AD7" s="13">
        <f>IF(INDEX('İzin Planı'!$C$6:$C$35,7-5)="","",IF(OR(AND(N(INDEX('İzin Planı'!$F$6:$F$35,7-5))&gt;0,INDEX('İzin Planı'!$F$6:$F$35,7-5)&lt;=('Özet'!$C$6+7*27)+6,INDEX('İzin Planı'!$G$6:$G$35,7-5)&gt;=('Özet'!$C$6+7*27)),AND(N(INDEX('İzin Planı'!$I$6:$I$35,7-5))&gt;0,INDEX('İzin Planı'!$I$6:$I$35,7-5)&lt;=('Özet'!$C$6+7*27)+6,INDEX('İzin Planı'!$J$6:$J$35,7-5)&gt;=('Özet'!$C$6+7*27)),AND(N(INDEX('İzin Planı'!$L$6:$L$35,7-5))&gt;0,INDEX('İzin Planı'!$L$6:$L$35,7-5)&lt;=('Özet'!$C$6+7*27)+6,INDEX('İzin Planı'!$M$6:$M$35,7-5)&gt;=('Özet'!$C$6+7*27))),"İ",""))</f>
      </c>
      <c r="AE7" s="13">
        <f>IF(INDEX('İzin Planı'!$C$6:$C$35,7-5)="","",IF(OR(AND(N(INDEX('İzin Planı'!$F$6:$F$35,7-5))&gt;0,INDEX('İzin Planı'!$F$6:$F$35,7-5)&lt;=('Özet'!$C$6+7*28)+6,INDEX('İzin Planı'!$G$6:$G$35,7-5)&gt;=('Özet'!$C$6+7*28)),AND(N(INDEX('İzin Planı'!$I$6:$I$35,7-5))&gt;0,INDEX('İzin Planı'!$I$6:$I$35,7-5)&lt;=('Özet'!$C$6+7*28)+6,INDEX('İzin Planı'!$J$6:$J$35,7-5)&gt;=('Özet'!$C$6+7*28)),AND(N(INDEX('İzin Planı'!$L$6:$L$35,7-5))&gt;0,INDEX('İzin Planı'!$L$6:$L$35,7-5)&lt;=('Özet'!$C$6+7*28)+6,INDEX('İzin Planı'!$M$6:$M$35,7-5)&gt;=('Özet'!$C$6+7*28))),"İ",""))</f>
      </c>
      <c r="AF7" s="13">
        <f>IF(INDEX('İzin Planı'!$C$6:$C$35,7-5)="","",IF(OR(AND(N(INDEX('İzin Planı'!$F$6:$F$35,7-5))&gt;0,INDEX('İzin Planı'!$F$6:$F$35,7-5)&lt;=('Özet'!$C$6+7*29)+6,INDEX('İzin Planı'!$G$6:$G$35,7-5)&gt;=('Özet'!$C$6+7*29)),AND(N(INDEX('İzin Planı'!$I$6:$I$35,7-5))&gt;0,INDEX('İzin Planı'!$I$6:$I$35,7-5)&lt;=('Özet'!$C$6+7*29)+6,INDEX('İzin Planı'!$J$6:$J$35,7-5)&gt;=('Özet'!$C$6+7*29)),AND(N(INDEX('İzin Planı'!$L$6:$L$35,7-5))&gt;0,INDEX('İzin Planı'!$L$6:$L$35,7-5)&lt;=('Özet'!$C$6+7*29)+6,INDEX('İzin Planı'!$M$6:$M$35,7-5)&gt;=('Özet'!$C$6+7*29))),"İ",""))</f>
      </c>
      <c r="AG7" s="13">
        <f>IF(INDEX('İzin Planı'!$C$6:$C$35,7-5)="","",IF(OR(AND(N(INDEX('İzin Planı'!$F$6:$F$35,7-5))&gt;0,INDEX('İzin Planı'!$F$6:$F$35,7-5)&lt;=('Özet'!$C$6+7*30)+6,INDEX('İzin Planı'!$G$6:$G$35,7-5)&gt;=('Özet'!$C$6+7*30)),AND(N(INDEX('İzin Planı'!$I$6:$I$35,7-5))&gt;0,INDEX('İzin Planı'!$I$6:$I$35,7-5)&lt;=('Özet'!$C$6+7*30)+6,INDEX('İzin Planı'!$J$6:$J$35,7-5)&gt;=('Özet'!$C$6+7*30)),AND(N(INDEX('İzin Planı'!$L$6:$L$35,7-5))&gt;0,INDEX('İzin Planı'!$L$6:$L$35,7-5)&lt;=('Özet'!$C$6+7*30)+6,INDEX('İzin Planı'!$M$6:$M$35,7-5)&gt;=('Özet'!$C$6+7*30))),"İ",""))</f>
      </c>
      <c r="AH7" s="13">
        <f>IF(INDEX('İzin Planı'!$C$6:$C$35,7-5)="","",IF(OR(AND(N(INDEX('İzin Planı'!$F$6:$F$35,7-5))&gt;0,INDEX('İzin Planı'!$F$6:$F$35,7-5)&lt;=('Özet'!$C$6+7*31)+6,INDEX('İzin Planı'!$G$6:$G$35,7-5)&gt;=('Özet'!$C$6+7*31)),AND(N(INDEX('İzin Planı'!$I$6:$I$35,7-5))&gt;0,INDEX('İzin Planı'!$I$6:$I$35,7-5)&lt;=('Özet'!$C$6+7*31)+6,INDEX('İzin Planı'!$J$6:$J$35,7-5)&gt;=('Özet'!$C$6+7*31)),AND(N(INDEX('İzin Planı'!$L$6:$L$35,7-5))&gt;0,INDEX('İzin Planı'!$L$6:$L$35,7-5)&lt;=('Özet'!$C$6+7*31)+6,INDEX('İzin Planı'!$M$6:$M$35,7-5)&gt;=('Özet'!$C$6+7*31))),"İ",""))</f>
      </c>
      <c r="AI7" s="13">
        <f>IF(INDEX('İzin Planı'!$C$6:$C$35,7-5)="","",IF(OR(AND(N(INDEX('İzin Planı'!$F$6:$F$35,7-5))&gt;0,INDEX('İzin Planı'!$F$6:$F$35,7-5)&lt;=('Özet'!$C$6+7*32)+6,INDEX('İzin Planı'!$G$6:$G$35,7-5)&gt;=('Özet'!$C$6+7*32)),AND(N(INDEX('İzin Planı'!$I$6:$I$35,7-5))&gt;0,INDEX('İzin Planı'!$I$6:$I$35,7-5)&lt;=('Özet'!$C$6+7*32)+6,INDEX('İzin Planı'!$J$6:$J$35,7-5)&gt;=('Özet'!$C$6+7*32)),AND(N(INDEX('İzin Planı'!$L$6:$L$35,7-5))&gt;0,INDEX('İzin Planı'!$L$6:$L$35,7-5)&lt;=('Özet'!$C$6+7*32)+6,INDEX('İzin Planı'!$M$6:$M$35,7-5)&gt;=('Özet'!$C$6+7*32))),"İ",""))</f>
      </c>
      <c r="AJ7" s="13">
        <f>IF(INDEX('İzin Planı'!$C$6:$C$35,7-5)="","",IF(OR(AND(N(INDEX('İzin Planı'!$F$6:$F$35,7-5))&gt;0,INDEX('İzin Planı'!$F$6:$F$35,7-5)&lt;=('Özet'!$C$6+7*33)+6,INDEX('İzin Planı'!$G$6:$G$35,7-5)&gt;=('Özet'!$C$6+7*33)),AND(N(INDEX('İzin Planı'!$I$6:$I$35,7-5))&gt;0,INDEX('İzin Planı'!$I$6:$I$35,7-5)&lt;=('Özet'!$C$6+7*33)+6,INDEX('İzin Planı'!$J$6:$J$35,7-5)&gt;=('Özet'!$C$6+7*33)),AND(N(INDEX('İzin Planı'!$L$6:$L$35,7-5))&gt;0,INDEX('İzin Planı'!$L$6:$L$35,7-5)&lt;=('Özet'!$C$6+7*33)+6,INDEX('İzin Planı'!$M$6:$M$35,7-5)&gt;=('Özet'!$C$6+7*33))),"İ",""))</f>
      </c>
      <c r="AK7" s="13">
        <f>IF(INDEX('İzin Planı'!$C$6:$C$35,7-5)="","",IF(OR(AND(N(INDEX('İzin Planı'!$F$6:$F$35,7-5))&gt;0,INDEX('İzin Planı'!$F$6:$F$35,7-5)&lt;=('Özet'!$C$6+7*34)+6,INDEX('İzin Planı'!$G$6:$G$35,7-5)&gt;=('Özet'!$C$6+7*34)),AND(N(INDEX('İzin Planı'!$I$6:$I$35,7-5))&gt;0,INDEX('İzin Planı'!$I$6:$I$35,7-5)&lt;=('Özet'!$C$6+7*34)+6,INDEX('İzin Planı'!$J$6:$J$35,7-5)&gt;=('Özet'!$C$6+7*34)),AND(N(INDEX('İzin Planı'!$L$6:$L$35,7-5))&gt;0,INDEX('İzin Planı'!$L$6:$L$35,7-5)&lt;=('Özet'!$C$6+7*34)+6,INDEX('İzin Planı'!$M$6:$M$35,7-5)&gt;=('Özet'!$C$6+7*34))),"İ",""))</f>
      </c>
      <c r="AL7" s="13">
        <f>IF(INDEX('İzin Planı'!$C$6:$C$35,7-5)="","",IF(OR(AND(N(INDEX('İzin Planı'!$F$6:$F$35,7-5))&gt;0,INDEX('İzin Planı'!$F$6:$F$35,7-5)&lt;=('Özet'!$C$6+7*35)+6,INDEX('İzin Planı'!$G$6:$G$35,7-5)&gt;=('Özet'!$C$6+7*35)),AND(N(INDEX('İzin Planı'!$I$6:$I$35,7-5))&gt;0,INDEX('İzin Planı'!$I$6:$I$35,7-5)&lt;=('Özet'!$C$6+7*35)+6,INDEX('İzin Planı'!$J$6:$J$35,7-5)&gt;=('Özet'!$C$6+7*35)),AND(N(INDEX('İzin Planı'!$L$6:$L$35,7-5))&gt;0,INDEX('İzin Planı'!$L$6:$L$35,7-5)&lt;=('Özet'!$C$6+7*35)+6,INDEX('İzin Planı'!$M$6:$M$35,7-5)&gt;=('Özet'!$C$6+7*35))),"İ",""))</f>
      </c>
      <c r="AM7" s="13">
        <f>IF(INDEX('İzin Planı'!$C$6:$C$35,7-5)="","",IF(OR(AND(N(INDEX('İzin Planı'!$F$6:$F$35,7-5))&gt;0,INDEX('İzin Planı'!$F$6:$F$35,7-5)&lt;=('Özet'!$C$6+7*36)+6,INDEX('İzin Planı'!$G$6:$G$35,7-5)&gt;=('Özet'!$C$6+7*36)),AND(N(INDEX('İzin Planı'!$I$6:$I$35,7-5))&gt;0,INDEX('İzin Planı'!$I$6:$I$35,7-5)&lt;=('Özet'!$C$6+7*36)+6,INDEX('İzin Planı'!$J$6:$J$35,7-5)&gt;=('Özet'!$C$6+7*36)),AND(N(INDEX('İzin Planı'!$L$6:$L$35,7-5))&gt;0,INDEX('İzin Planı'!$L$6:$L$35,7-5)&lt;=('Özet'!$C$6+7*36)+6,INDEX('İzin Planı'!$M$6:$M$35,7-5)&gt;=('Özet'!$C$6+7*36))),"İ",""))</f>
      </c>
      <c r="AN7" s="13">
        <f>IF(INDEX('İzin Planı'!$C$6:$C$35,7-5)="","",IF(OR(AND(N(INDEX('İzin Planı'!$F$6:$F$35,7-5))&gt;0,INDEX('İzin Planı'!$F$6:$F$35,7-5)&lt;=('Özet'!$C$6+7*37)+6,INDEX('İzin Planı'!$G$6:$G$35,7-5)&gt;=('Özet'!$C$6+7*37)),AND(N(INDEX('İzin Planı'!$I$6:$I$35,7-5))&gt;0,INDEX('İzin Planı'!$I$6:$I$35,7-5)&lt;=('Özet'!$C$6+7*37)+6,INDEX('İzin Planı'!$J$6:$J$35,7-5)&gt;=('Özet'!$C$6+7*37)),AND(N(INDEX('İzin Planı'!$L$6:$L$35,7-5))&gt;0,INDEX('İzin Planı'!$L$6:$L$35,7-5)&lt;=('Özet'!$C$6+7*37)+6,INDEX('İzin Planı'!$M$6:$M$35,7-5)&gt;=('Özet'!$C$6+7*37))),"İ",""))</f>
      </c>
      <c r="AO7" s="13">
        <f>IF(INDEX('İzin Planı'!$C$6:$C$35,7-5)="","",IF(OR(AND(N(INDEX('İzin Planı'!$F$6:$F$35,7-5))&gt;0,INDEX('İzin Planı'!$F$6:$F$35,7-5)&lt;=('Özet'!$C$6+7*38)+6,INDEX('İzin Planı'!$G$6:$G$35,7-5)&gt;=('Özet'!$C$6+7*38)),AND(N(INDEX('İzin Planı'!$I$6:$I$35,7-5))&gt;0,INDEX('İzin Planı'!$I$6:$I$35,7-5)&lt;=('Özet'!$C$6+7*38)+6,INDEX('İzin Planı'!$J$6:$J$35,7-5)&gt;=('Özet'!$C$6+7*38)),AND(N(INDEX('İzin Planı'!$L$6:$L$35,7-5))&gt;0,INDEX('İzin Planı'!$L$6:$L$35,7-5)&lt;=('Özet'!$C$6+7*38)+6,INDEX('İzin Planı'!$M$6:$M$35,7-5)&gt;=('Özet'!$C$6+7*38))),"İ",""))</f>
      </c>
      <c r="AP7" s="13">
        <f>IF(INDEX('İzin Planı'!$C$6:$C$35,7-5)="","",IF(OR(AND(N(INDEX('İzin Planı'!$F$6:$F$35,7-5))&gt;0,INDEX('İzin Planı'!$F$6:$F$35,7-5)&lt;=('Özet'!$C$6+7*39)+6,INDEX('İzin Planı'!$G$6:$G$35,7-5)&gt;=('Özet'!$C$6+7*39)),AND(N(INDEX('İzin Planı'!$I$6:$I$35,7-5))&gt;0,INDEX('İzin Planı'!$I$6:$I$35,7-5)&lt;=('Özet'!$C$6+7*39)+6,INDEX('İzin Planı'!$J$6:$J$35,7-5)&gt;=('Özet'!$C$6+7*39)),AND(N(INDEX('İzin Planı'!$L$6:$L$35,7-5))&gt;0,INDEX('İzin Planı'!$L$6:$L$35,7-5)&lt;=('Özet'!$C$6+7*39)+6,INDEX('İzin Planı'!$M$6:$M$35,7-5)&gt;=('Özet'!$C$6+7*39))),"İ",""))</f>
      </c>
      <c r="AQ7" s="13">
        <f>IF(INDEX('İzin Planı'!$C$6:$C$35,7-5)="","",IF(OR(AND(N(INDEX('İzin Planı'!$F$6:$F$35,7-5))&gt;0,INDEX('İzin Planı'!$F$6:$F$35,7-5)&lt;=('Özet'!$C$6+7*40)+6,INDEX('İzin Planı'!$G$6:$G$35,7-5)&gt;=('Özet'!$C$6+7*40)),AND(N(INDEX('İzin Planı'!$I$6:$I$35,7-5))&gt;0,INDEX('İzin Planı'!$I$6:$I$35,7-5)&lt;=('Özet'!$C$6+7*40)+6,INDEX('İzin Planı'!$J$6:$J$35,7-5)&gt;=('Özet'!$C$6+7*40)),AND(N(INDEX('İzin Planı'!$L$6:$L$35,7-5))&gt;0,INDEX('İzin Planı'!$L$6:$L$35,7-5)&lt;=('Özet'!$C$6+7*40)+6,INDEX('İzin Planı'!$M$6:$M$35,7-5)&gt;=('Özet'!$C$6+7*40))),"İ",""))</f>
      </c>
      <c r="AR7" s="13">
        <f>IF(INDEX('İzin Planı'!$C$6:$C$35,7-5)="","",IF(OR(AND(N(INDEX('İzin Planı'!$F$6:$F$35,7-5))&gt;0,INDEX('İzin Planı'!$F$6:$F$35,7-5)&lt;=('Özet'!$C$6+7*41)+6,INDEX('İzin Planı'!$G$6:$G$35,7-5)&gt;=('Özet'!$C$6+7*41)),AND(N(INDEX('İzin Planı'!$I$6:$I$35,7-5))&gt;0,INDEX('İzin Planı'!$I$6:$I$35,7-5)&lt;=('Özet'!$C$6+7*41)+6,INDEX('İzin Planı'!$J$6:$J$35,7-5)&gt;=('Özet'!$C$6+7*41)),AND(N(INDEX('İzin Planı'!$L$6:$L$35,7-5))&gt;0,INDEX('İzin Planı'!$L$6:$L$35,7-5)&lt;=('Özet'!$C$6+7*41)+6,INDEX('İzin Planı'!$M$6:$M$35,7-5)&gt;=('Özet'!$C$6+7*41))),"İ",""))</f>
      </c>
      <c r="AS7" s="13">
        <f>IF(INDEX('İzin Planı'!$C$6:$C$35,7-5)="","",IF(OR(AND(N(INDEX('İzin Planı'!$F$6:$F$35,7-5))&gt;0,INDEX('İzin Planı'!$F$6:$F$35,7-5)&lt;=('Özet'!$C$6+7*42)+6,INDEX('İzin Planı'!$G$6:$G$35,7-5)&gt;=('Özet'!$C$6+7*42)),AND(N(INDEX('İzin Planı'!$I$6:$I$35,7-5))&gt;0,INDEX('İzin Planı'!$I$6:$I$35,7-5)&lt;=('Özet'!$C$6+7*42)+6,INDEX('İzin Planı'!$J$6:$J$35,7-5)&gt;=('Özet'!$C$6+7*42)),AND(N(INDEX('İzin Planı'!$L$6:$L$35,7-5))&gt;0,INDEX('İzin Planı'!$L$6:$L$35,7-5)&lt;=('Özet'!$C$6+7*42)+6,INDEX('İzin Planı'!$M$6:$M$35,7-5)&gt;=('Özet'!$C$6+7*42))),"İ",""))</f>
      </c>
      <c r="AT7" s="13">
        <f>IF(INDEX('İzin Planı'!$C$6:$C$35,7-5)="","",IF(OR(AND(N(INDEX('İzin Planı'!$F$6:$F$35,7-5))&gt;0,INDEX('İzin Planı'!$F$6:$F$35,7-5)&lt;=('Özet'!$C$6+7*43)+6,INDEX('İzin Planı'!$G$6:$G$35,7-5)&gt;=('Özet'!$C$6+7*43)),AND(N(INDEX('İzin Planı'!$I$6:$I$35,7-5))&gt;0,INDEX('İzin Planı'!$I$6:$I$35,7-5)&lt;=('Özet'!$C$6+7*43)+6,INDEX('İzin Planı'!$J$6:$J$35,7-5)&gt;=('Özet'!$C$6+7*43)),AND(N(INDEX('İzin Planı'!$L$6:$L$35,7-5))&gt;0,INDEX('İzin Planı'!$L$6:$L$35,7-5)&lt;=('Özet'!$C$6+7*43)+6,INDEX('İzin Planı'!$M$6:$M$35,7-5)&gt;=('Özet'!$C$6+7*43))),"İ",""))</f>
      </c>
      <c r="AU7" s="13">
        <f>IF(INDEX('İzin Planı'!$C$6:$C$35,7-5)="","",IF(OR(AND(N(INDEX('İzin Planı'!$F$6:$F$35,7-5))&gt;0,INDEX('İzin Planı'!$F$6:$F$35,7-5)&lt;=('Özet'!$C$6+7*44)+6,INDEX('İzin Planı'!$G$6:$G$35,7-5)&gt;=('Özet'!$C$6+7*44)),AND(N(INDEX('İzin Planı'!$I$6:$I$35,7-5))&gt;0,INDEX('İzin Planı'!$I$6:$I$35,7-5)&lt;=('Özet'!$C$6+7*44)+6,INDEX('İzin Planı'!$J$6:$J$35,7-5)&gt;=('Özet'!$C$6+7*44)),AND(N(INDEX('İzin Planı'!$L$6:$L$35,7-5))&gt;0,INDEX('İzin Planı'!$L$6:$L$35,7-5)&lt;=('Özet'!$C$6+7*44)+6,INDEX('İzin Planı'!$M$6:$M$35,7-5)&gt;=('Özet'!$C$6+7*44))),"İ",""))</f>
      </c>
      <c r="AV7" s="13">
        <f>IF(INDEX('İzin Planı'!$C$6:$C$35,7-5)="","",IF(OR(AND(N(INDEX('İzin Planı'!$F$6:$F$35,7-5))&gt;0,INDEX('İzin Planı'!$F$6:$F$35,7-5)&lt;=('Özet'!$C$6+7*45)+6,INDEX('İzin Planı'!$G$6:$G$35,7-5)&gt;=('Özet'!$C$6+7*45)),AND(N(INDEX('İzin Planı'!$I$6:$I$35,7-5))&gt;0,INDEX('İzin Planı'!$I$6:$I$35,7-5)&lt;=('Özet'!$C$6+7*45)+6,INDEX('İzin Planı'!$J$6:$J$35,7-5)&gt;=('Özet'!$C$6+7*45)),AND(N(INDEX('İzin Planı'!$L$6:$L$35,7-5))&gt;0,INDEX('İzin Planı'!$L$6:$L$35,7-5)&lt;=('Özet'!$C$6+7*45)+6,INDEX('İzin Planı'!$M$6:$M$35,7-5)&gt;=('Özet'!$C$6+7*45))),"İ",""))</f>
      </c>
      <c r="AW7" s="13">
        <f>IF(INDEX('İzin Planı'!$C$6:$C$35,7-5)="","",IF(OR(AND(N(INDEX('İzin Planı'!$F$6:$F$35,7-5))&gt;0,INDEX('İzin Planı'!$F$6:$F$35,7-5)&lt;=('Özet'!$C$6+7*46)+6,INDEX('İzin Planı'!$G$6:$G$35,7-5)&gt;=('Özet'!$C$6+7*46)),AND(N(INDEX('İzin Planı'!$I$6:$I$35,7-5))&gt;0,INDEX('İzin Planı'!$I$6:$I$35,7-5)&lt;=('Özet'!$C$6+7*46)+6,INDEX('İzin Planı'!$J$6:$J$35,7-5)&gt;=('Özet'!$C$6+7*46)),AND(N(INDEX('İzin Planı'!$L$6:$L$35,7-5))&gt;0,INDEX('İzin Planı'!$L$6:$L$35,7-5)&lt;=('Özet'!$C$6+7*46)+6,INDEX('İzin Planı'!$M$6:$M$35,7-5)&gt;=('Özet'!$C$6+7*46))),"İ",""))</f>
      </c>
      <c r="AX7" s="13">
        <f>IF(INDEX('İzin Planı'!$C$6:$C$35,7-5)="","",IF(OR(AND(N(INDEX('İzin Planı'!$F$6:$F$35,7-5))&gt;0,INDEX('İzin Planı'!$F$6:$F$35,7-5)&lt;=('Özet'!$C$6+7*47)+6,INDEX('İzin Planı'!$G$6:$G$35,7-5)&gt;=('Özet'!$C$6+7*47)),AND(N(INDEX('İzin Planı'!$I$6:$I$35,7-5))&gt;0,INDEX('İzin Planı'!$I$6:$I$35,7-5)&lt;=('Özet'!$C$6+7*47)+6,INDEX('İzin Planı'!$J$6:$J$35,7-5)&gt;=('Özet'!$C$6+7*47)),AND(N(INDEX('İzin Planı'!$L$6:$L$35,7-5))&gt;0,INDEX('İzin Planı'!$L$6:$L$35,7-5)&lt;=('Özet'!$C$6+7*47)+6,INDEX('İzin Planı'!$M$6:$M$35,7-5)&gt;=('Özet'!$C$6+7*47))),"İ",""))</f>
      </c>
      <c r="AY7" s="13">
        <f>IF(INDEX('İzin Planı'!$C$6:$C$35,7-5)="","",IF(OR(AND(N(INDEX('İzin Planı'!$F$6:$F$35,7-5))&gt;0,INDEX('İzin Planı'!$F$6:$F$35,7-5)&lt;=('Özet'!$C$6+7*48)+6,INDEX('İzin Planı'!$G$6:$G$35,7-5)&gt;=('Özet'!$C$6+7*48)),AND(N(INDEX('İzin Planı'!$I$6:$I$35,7-5))&gt;0,INDEX('İzin Planı'!$I$6:$I$35,7-5)&lt;=('Özet'!$C$6+7*48)+6,INDEX('İzin Planı'!$J$6:$J$35,7-5)&gt;=('Özet'!$C$6+7*48)),AND(N(INDEX('İzin Planı'!$L$6:$L$35,7-5))&gt;0,INDEX('İzin Planı'!$L$6:$L$35,7-5)&lt;=('Özet'!$C$6+7*48)+6,INDEX('İzin Planı'!$M$6:$M$35,7-5)&gt;=('Özet'!$C$6+7*48))),"İ",""))</f>
      </c>
      <c r="AZ7" s="13">
        <f>IF(INDEX('İzin Planı'!$C$6:$C$35,7-5)="","",IF(OR(AND(N(INDEX('İzin Planı'!$F$6:$F$35,7-5))&gt;0,INDEX('İzin Planı'!$F$6:$F$35,7-5)&lt;=('Özet'!$C$6+7*49)+6,INDEX('İzin Planı'!$G$6:$G$35,7-5)&gt;=('Özet'!$C$6+7*49)),AND(N(INDEX('İzin Planı'!$I$6:$I$35,7-5))&gt;0,INDEX('İzin Planı'!$I$6:$I$35,7-5)&lt;=('Özet'!$C$6+7*49)+6,INDEX('İzin Planı'!$J$6:$J$35,7-5)&gt;=('Özet'!$C$6+7*49)),AND(N(INDEX('İzin Planı'!$L$6:$L$35,7-5))&gt;0,INDEX('İzin Planı'!$L$6:$L$35,7-5)&lt;=('Özet'!$C$6+7*49)+6,INDEX('İzin Planı'!$M$6:$M$35,7-5)&gt;=('Özet'!$C$6+7*49))),"İ",""))</f>
      </c>
      <c r="BA7" s="13">
        <f>IF(INDEX('İzin Planı'!$C$6:$C$35,7-5)="","",IF(OR(AND(N(INDEX('İzin Planı'!$F$6:$F$35,7-5))&gt;0,INDEX('İzin Planı'!$F$6:$F$35,7-5)&lt;=('Özet'!$C$6+7*50)+6,INDEX('İzin Planı'!$G$6:$G$35,7-5)&gt;=('Özet'!$C$6+7*50)),AND(N(INDEX('İzin Planı'!$I$6:$I$35,7-5))&gt;0,INDEX('İzin Planı'!$I$6:$I$35,7-5)&lt;=('Özet'!$C$6+7*50)+6,INDEX('İzin Planı'!$J$6:$J$35,7-5)&gt;=('Özet'!$C$6+7*50)),AND(N(INDEX('İzin Planı'!$L$6:$L$35,7-5))&gt;0,INDEX('İzin Planı'!$L$6:$L$35,7-5)&lt;=('Özet'!$C$6+7*50)+6,INDEX('İzin Planı'!$M$6:$M$35,7-5)&gt;=('Özet'!$C$6+7*50))),"İ",""))</f>
      </c>
      <c r="BB7" s="13">
        <f>IF(INDEX('İzin Planı'!$C$6:$C$35,7-5)="","",IF(OR(AND(N(INDEX('İzin Planı'!$F$6:$F$35,7-5))&gt;0,INDEX('İzin Planı'!$F$6:$F$35,7-5)&lt;=('Özet'!$C$6+7*51)+6,INDEX('İzin Planı'!$G$6:$G$35,7-5)&gt;=('Özet'!$C$6+7*51)),AND(N(INDEX('İzin Planı'!$I$6:$I$35,7-5))&gt;0,INDEX('İzin Planı'!$I$6:$I$35,7-5)&lt;=('Özet'!$C$6+7*51)+6,INDEX('İzin Planı'!$J$6:$J$35,7-5)&gt;=('Özet'!$C$6+7*51)),AND(N(INDEX('İzin Planı'!$L$6:$L$35,7-5))&gt;0,INDEX('İzin Planı'!$L$6:$L$35,7-5)&lt;=('Özet'!$C$6+7*51)+6,INDEX('İzin Planı'!$M$6:$M$35,7-5)&gt;=('Özet'!$C$6+7*51))),"İ",""))</f>
      </c>
      <c r="BC7" s="13">
        <f>IF(INDEX('İzin Planı'!$C$6:$C$35,7-5)="","",IF(OR(AND(N(INDEX('İzin Planı'!$F$6:$F$35,7-5))&gt;0,INDEX('İzin Planı'!$F$6:$F$35,7-5)&lt;=('Özet'!$C$6+7*52)+6,INDEX('İzin Planı'!$G$6:$G$35,7-5)&gt;=('Özet'!$C$6+7*52)),AND(N(INDEX('İzin Planı'!$I$6:$I$35,7-5))&gt;0,INDEX('İzin Planı'!$I$6:$I$35,7-5)&lt;=('Özet'!$C$6+7*52)+6,INDEX('İzin Planı'!$J$6:$J$35,7-5)&gt;=('Özet'!$C$6+7*52)),AND(N(INDEX('İzin Planı'!$L$6:$L$35,7-5))&gt;0,INDEX('İzin Planı'!$L$6:$L$35,7-5)&lt;=('Özet'!$C$6+7*52)+6,INDEX('İzin Planı'!$M$6:$M$35,7-5)&gt;=('Özet'!$C$6+7*52))),"İ",""))</f>
      </c>
    </row>
    <row r="8" ht="18" customHeight="1" spans="1:55" x14ac:dyDescent="0.25">
      <c r="A8" s="6">
        <v>3</v>
      </c>
      <c r="B8" s="13">
        <f>IF(INDEX('İzin Planı'!$C$6:$C$35,8-5)="","",INDEX('İzin Planı'!$C$6:$C$35,8-5))</f>
      </c>
      <c r="C8" s="13">
        <f>IF(INDEX('İzin Planı'!$C$6:$C$35,8-5)="","",IF(OR(AND(N(INDEX('İzin Planı'!$F$6:$F$35,8-5))&gt;0,INDEX('İzin Planı'!$F$6:$F$35,8-5)&lt;=('Özet'!$C$6+7*0)+6,INDEX('İzin Planı'!$G$6:$G$35,8-5)&gt;=('Özet'!$C$6+7*0)),AND(N(INDEX('İzin Planı'!$I$6:$I$35,8-5))&gt;0,INDEX('İzin Planı'!$I$6:$I$35,8-5)&lt;=('Özet'!$C$6+7*0)+6,INDEX('İzin Planı'!$J$6:$J$35,8-5)&gt;=('Özet'!$C$6+7*0)),AND(N(INDEX('İzin Planı'!$L$6:$L$35,8-5))&gt;0,INDEX('İzin Planı'!$L$6:$L$35,8-5)&lt;=('Özet'!$C$6+7*0)+6,INDEX('İzin Planı'!$M$6:$M$35,8-5)&gt;=('Özet'!$C$6+7*0))),"İ",""))</f>
      </c>
      <c r="D8" s="13">
        <f>IF(INDEX('İzin Planı'!$C$6:$C$35,8-5)="","",IF(OR(AND(N(INDEX('İzin Planı'!$F$6:$F$35,8-5))&gt;0,INDEX('İzin Planı'!$F$6:$F$35,8-5)&lt;=('Özet'!$C$6+7*1)+6,INDEX('İzin Planı'!$G$6:$G$35,8-5)&gt;=('Özet'!$C$6+7*1)),AND(N(INDEX('İzin Planı'!$I$6:$I$35,8-5))&gt;0,INDEX('İzin Planı'!$I$6:$I$35,8-5)&lt;=('Özet'!$C$6+7*1)+6,INDEX('İzin Planı'!$J$6:$J$35,8-5)&gt;=('Özet'!$C$6+7*1)),AND(N(INDEX('İzin Planı'!$L$6:$L$35,8-5))&gt;0,INDEX('İzin Planı'!$L$6:$L$35,8-5)&lt;=('Özet'!$C$6+7*1)+6,INDEX('İzin Planı'!$M$6:$M$35,8-5)&gt;=('Özet'!$C$6+7*1))),"İ",""))</f>
      </c>
      <c r="E8" s="13">
        <f>IF(INDEX('İzin Planı'!$C$6:$C$35,8-5)="","",IF(OR(AND(N(INDEX('İzin Planı'!$F$6:$F$35,8-5))&gt;0,INDEX('İzin Planı'!$F$6:$F$35,8-5)&lt;=('Özet'!$C$6+7*2)+6,INDEX('İzin Planı'!$G$6:$G$35,8-5)&gt;=('Özet'!$C$6+7*2)),AND(N(INDEX('İzin Planı'!$I$6:$I$35,8-5))&gt;0,INDEX('İzin Planı'!$I$6:$I$35,8-5)&lt;=('Özet'!$C$6+7*2)+6,INDEX('İzin Planı'!$J$6:$J$35,8-5)&gt;=('Özet'!$C$6+7*2)),AND(N(INDEX('İzin Planı'!$L$6:$L$35,8-5))&gt;0,INDEX('İzin Planı'!$L$6:$L$35,8-5)&lt;=('Özet'!$C$6+7*2)+6,INDEX('İzin Planı'!$M$6:$M$35,8-5)&gt;=('Özet'!$C$6+7*2))),"İ",""))</f>
      </c>
      <c r="F8" s="13">
        <f>IF(INDEX('İzin Planı'!$C$6:$C$35,8-5)="","",IF(OR(AND(N(INDEX('İzin Planı'!$F$6:$F$35,8-5))&gt;0,INDEX('İzin Planı'!$F$6:$F$35,8-5)&lt;=('Özet'!$C$6+7*3)+6,INDEX('İzin Planı'!$G$6:$G$35,8-5)&gt;=('Özet'!$C$6+7*3)),AND(N(INDEX('İzin Planı'!$I$6:$I$35,8-5))&gt;0,INDEX('İzin Planı'!$I$6:$I$35,8-5)&lt;=('Özet'!$C$6+7*3)+6,INDEX('İzin Planı'!$J$6:$J$35,8-5)&gt;=('Özet'!$C$6+7*3)),AND(N(INDEX('İzin Planı'!$L$6:$L$35,8-5))&gt;0,INDEX('İzin Planı'!$L$6:$L$35,8-5)&lt;=('Özet'!$C$6+7*3)+6,INDEX('İzin Planı'!$M$6:$M$35,8-5)&gt;=('Özet'!$C$6+7*3))),"İ",""))</f>
      </c>
      <c r="G8" s="13">
        <f>IF(INDEX('İzin Planı'!$C$6:$C$35,8-5)="","",IF(OR(AND(N(INDEX('İzin Planı'!$F$6:$F$35,8-5))&gt;0,INDEX('İzin Planı'!$F$6:$F$35,8-5)&lt;=('Özet'!$C$6+7*4)+6,INDEX('İzin Planı'!$G$6:$G$35,8-5)&gt;=('Özet'!$C$6+7*4)),AND(N(INDEX('İzin Planı'!$I$6:$I$35,8-5))&gt;0,INDEX('İzin Planı'!$I$6:$I$35,8-5)&lt;=('Özet'!$C$6+7*4)+6,INDEX('İzin Planı'!$J$6:$J$35,8-5)&gt;=('Özet'!$C$6+7*4)),AND(N(INDEX('İzin Planı'!$L$6:$L$35,8-5))&gt;0,INDEX('İzin Planı'!$L$6:$L$35,8-5)&lt;=('Özet'!$C$6+7*4)+6,INDEX('İzin Planı'!$M$6:$M$35,8-5)&gt;=('Özet'!$C$6+7*4))),"İ",""))</f>
      </c>
      <c r="H8" s="13">
        <f>IF(INDEX('İzin Planı'!$C$6:$C$35,8-5)="","",IF(OR(AND(N(INDEX('İzin Planı'!$F$6:$F$35,8-5))&gt;0,INDEX('İzin Planı'!$F$6:$F$35,8-5)&lt;=('Özet'!$C$6+7*5)+6,INDEX('İzin Planı'!$G$6:$G$35,8-5)&gt;=('Özet'!$C$6+7*5)),AND(N(INDEX('İzin Planı'!$I$6:$I$35,8-5))&gt;0,INDEX('İzin Planı'!$I$6:$I$35,8-5)&lt;=('Özet'!$C$6+7*5)+6,INDEX('İzin Planı'!$J$6:$J$35,8-5)&gt;=('Özet'!$C$6+7*5)),AND(N(INDEX('İzin Planı'!$L$6:$L$35,8-5))&gt;0,INDEX('İzin Planı'!$L$6:$L$35,8-5)&lt;=('Özet'!$C$6+7*5)+6,INDEX('İzin Planı'!$M$6:$M$35,8-5)&gt;=('Özet'!$C$6+7*5))),"İ",""))</f>
      </c>
      <c r="I8" s="13">
        <f>IF(INDEX('İzin Planı'!$C$6:$C$35,8-5)="","",IF(OR(AND(N(INDEX('İzin Planı'!$F$6:$F$35,8-5))&gt;0,INDEX('İzin Planı'!$F$6:$F$35,8-5)&lt;=('Özet'!$C$6+7*6)+6,INDEX('İzin Planı'!$G$6:$G$35,8-5)&gt;=('Özet'!$C$6+7*6)),AND(N(INDEX('İzin Planı'!$I$6:$I$35,8-5))&gt;0,INDEX('İzin Planı'!$I$6:$I$35,8-5)&lt;=('Özet'!$C$6+7*6)+6,INDEX('İzin Planı'!$J$6:$J$35,8-5)&gt;=('Özet'!$C$6+7*6)),AND(N(INDEX('İzin Planı'!$L$6:$L$35,8-5))&gt;0,INDEX('İzin Planı'!$L$6:$L$35,8-5)&lt;=('Özet'!$C$6+7*6)+6,INDEX('İzin Planı'!$M$6:$M$35,8-5)&gt;=('Özet'!$C$6+7*6))),"İ",""))</f>
      </c>
      <c r="J8" s="13">
        <f>IF(INDEX('İzin Planı'!$C$6:$C$35,8-5)="","",IF(OR(AND(N(INDEX('İzin Planı'!$F$6:$F$35,8-5))&gt;0,INDEX('İzin Planı'!$F$6:$F$35,8-5)&lt;=('Özet'!$C$6+7*7)+6,INDEX('İzin Planı'!$G$6:$G$35,8-5)&gt;=('Özet'!$C$6+7*7)),AND(N(INDEX('İzin Planı'!$I$6:$I$35,8-5))&gt;0,INDEX('İzin Planı'!$I$6:$I$35,8-5)&lt;=('Özet'!$C$6+7*7)+6,INDEX('İzin Planı'!$J$6:$J$35,8-5)&gt;=('Özet'!$C$6+7*7)),AND(N(INDEX('İzin Planı'!$L$6:$L$35,8-5))&gt;0,INDEX('İzin Planı'!$L$6:$L$35,8-5)&lt;=('Özet'!$C$6+7*7)+6,INDEX('İzin Planı'!$M$6:$M$35,8-5)&gt;=('Özet'!$C$6+7*7))),"İ",""))</f>
      </c>
      <c r="K8" s="13">
        <f>IF(INDEX('İzin Planı'!$C$6:$C$35,8-5)="","",IF(OR(AND(N(INDEX('İzin Planı'!$F$6:$F$35,8-5))&gt;0,INDEX('İzin Planı'!$F$6:$F$35,8-5)&lt;=('Özet'!$C$6+7*8)+6,INDEX('İzin Planı'!$G$6:$G$35,8-5)&gt;=('Özet'!$C$6+7*8)),AND(N(INDEX('İzin Planı'!$I$6:$I$35,8-5))&gt;0,INDEX('İzin Planı'!$I$6:$I$35,8-5)&lt;=('Özet'!$C$6+7*8)+6,INDEX('İzin Planı'!$J$6:$J$35,8-5)&gt;=('Özet'!$C$6+7*8)),AND(N(INDEX('İzin Planı'!$L$6:$L$35,8-5))&gt;0,INDEX('İzin Planı'!$L$6:$L$35,8-5)&lt;=('Özet'!$C$6+7*8)+6,INDEX('İzin Planı'!$M$6:$M$35,8-5)&gt;=('Özet'!$C$6+7*8))),"İ",""))</f>
      </c>
      <c r="L8" s="13">
        <f>IF(INDEX('İzin Planı'!$C$6:$C$35,8-5)="","",IF(OR(AND(N(INDEX('İzin Planı'!$F$6:$F$35,8-5))&gt;0,INDEX('İzin Planı'!$F$6:$F$35,8-5)&lt;=('Özet'!$C$6+7*9)+6,INDEX('İzin Planı'!$G$6:$G$35,8-5)&gt;=('Özet'!$C$6+7*9)),AND(N(INDEX('İzin Planı'!$I$6:$I$35,8-5))&gt;0,INDEX('İzin Planı'!$I$6:$I$35,8-5)&lt;=('Özet'!$C$6+7*9)+6,INDEX('İzin Planı'!$J$6:$J$35,8-5)&gt;=('Özet'!$C$6+7*9)),AND(N(INDEX('İzin Planı'!$L$6:$L$35,8-5))&gt;0,INDEX('İzin Planı'!$L$6:$L$35,8-5)&lt;=('Özet'!$C$6+7*9)+6,INDEX('İzin Planı'!$M$6:$M$35,8-5)&gt;=('Özet'!$C$6+7*9))),"İ",""))</f>
      </c>
      <c r="M8" s="13">
        <f>IF(INDEX('İzin Planı'!$C$6:$C$35,8-5)="","",IF(OR(AND(N(INDEX('İzin Planı'!$F$6:$F$35,8-5))&gt;0,INDEX('İzin Planı'!$F$6:$F$35,8-5)&lt;=('Özet'!$C$6+7*10)+6,INDEX('İzin Planı'!$G$6:$G$35,8-5)&gt;=('Özet'!$C$6+7*10)),AND(N(INDEX('İzin Planı'!$I$6:$I$35,8-5))&gt;0,INDEX('İzin Planı'!$I$6:$I$35,8-5)&lt;=('Özet'!$C$6+7*10)+6,INDEX('İzin Planı'!$J$6:$J$35,8-5)&gt;=('Özet'!$C$6+7*10)),AND(N(INDEX('İzin Planı'!$L$6:$L$35,8-5))&gt;0,INDEX('İzin Planı'!$L$6:$L$35,8-5)&lt;=('Özet'!$C$6+7*10)+6,INDEX('İzin Planı'!$M$6:$M$35,8-5)&gt;=('Özet'!$C$6+7*10))),"İ",""))</f>
      </c>
      <c r="N8" s="13">
        <f>IF(INDEX('İzin Planı'!$C$6:$C$35,8-5)="","",IF(OR(AND(N(INDEX('İzin Planı'!$F$6:$F$35,8-5))&gt;0,INDEX('İzin Planı'!$F$6:$F$35,8-5)&lt;=('Özet'!$C$6+7*11)+6,INDEX('İzin Planı'!$G$6:$G$35,8-5)&gt;=('Özet'!$C$6+7*11)),AND(N(INDEX('İzin Planı'!$I$6:$I$35,8-5))&gt;0,INDEX('İzin Planı'!$I$6:$I$35,8-5)&lt;=('Özet'!$C$6+7*11)+6,INDEX('İzin Planı'!$J$6:$J$35,8-5)&gt;=('Özet'!$C$6+7*11)),AND(N(INDEX('İzin Planı'!$L$6:$L$35,8-5))&gt;0,INDEX('İzin Planı'!$L$6:$L$35,8-5)&lt;=('Özet'!$C$6+7*11)+6,INDEX('İzin Planı'!$M$6:$M$35,8-5)&gt;=('Özet'!$C$6+7*11))),"İ",""))</f>
      </c>
      <c r="O8" s="13">
        <f>IF(INDEX('İzin Planı'!$C$6:$C$35,8-5)="","",IF(OR(AND(N(INDEX('İzin Planı'!$F$6:$F$35,8-5))&gt;0,INDEX('İzin Planı'!$F$6:$F$35,8-5)&lt;=('Özet'!$C$6+7*12)+6,INDEX('İzin Planı'!$G$6:$G$35,8-5)&gt;=('Özet'!$C$6+7*12)),AND(N(INDEX('İzin Planı'!$I$6:$I$35,8-5))&gt;0,INDEX('İzin Planı'!$I$6:$I$35,8-5)&lt;=('Özet'!$C$6+7*12)+6,INDEX('İzin Planı'!$J$6:$J$35,8-5)&gt;=('Özet'!$C$6+7*12)),AND(N(INDEX('İzin Planı'!$L$6:$L$35,8-5))&gt;0,INDEX('İzin Planı'!$L$6:$L$35,8-5)&lt;=('Özet'!$C$6+7*12)+6,INDEX('İzin Planı'!$M$6:$M$35,8-5)&gt;=('Özet'!$C$6+7*12))),"İ",""))</f>
      </c>
      <c r="P8" s="13">
        <f>IF(INDEX('İzin Planı'!$C$6:$C$35,8-5)="","",IF(OR(AND(N(INDEX('İzin Planı'!$F$6:$F$35,8-5))&gt;0,INDEX('İzin Planı'!$F$6:$F$35,8-5)&lt;=('Özet'!$C$6+7*13)+6,INDEX('İzin Planı'!$G$6:$G$35,8-5)&gt;=('Özet'!$C$6+7*13)),AND(N(INDEX('İzin Planı'!$I$6:$I$35,8-5))&gt;0,INDEX('İzin Planı'!$I$6:$I$35,8-5)&lt;=('Özet'!$C$6+7*13)+6,INDEX('İzin Planı'!$J$6:$J$35,8-5)&gt;=('Özet'!$C$6+7*13)),AND(N(INDEX('İzin Planı'!$L$6:$L$35,8-5))&gt;0,INDEX('İzin Planı'!$L$6:$L$35,8-5)&lt;=('Özet'!$C$6+7*13)+6,INDEX('İzin Planı'!$M$6:$M$35,8-5)&gt;=('Özet'!$C$6+7*13))),"İ",""))</f>
      </c>
      <c r="Q8" s="13">
        <f>IF(INDEX('İzin Planı'!$C$6:$C$35,8-5)="","",IF(OR(AND(N(INDEX('İzin Planı'!$F$6:$F$35,8-5))&gt;0,INDEX('İzin Planı'!$F$6:$F$35,8-5)&lt;=('Özet'!$C$6+7*14)+6,INDEX('İzin Planı'!$G$6:$G$35,8-5)&gt;=('Özet'!$C$6+7*14)),AND(N(INDEX('İzin Planı'!$I$6:$I$35,8-5))&gt;0,INDEX('İzin Planı'!$I$6:$I$35,8-5)&lt;=('Özet'!$C$6+7*14)+6,INDEX('İzin Planı'!$J$6:$J$35,8-5)&gt;=('Özet'!$C$6+7*14)),AND(N(INDEX('İzin Planı'!$L$6:$L$35,8-5))&gt;0,INDEX('İzin Planı'!$L$6:$L$35,8-5)&lt;=('Özet'!$C$6+7*14)+6,INDEX('İzin Planı'!$M$6:$M$35,8-5)&gt;=('Özet'!$C$6+7*14))),"İ",""))</f>
      </c>
      <c r="R8" s="13">
        <f>IF(INDEX('İzin Planı'!$C$6:$C$35,8-5)="","",IF(OR(AND(N(INDEX('İzin Planı'!$F$6:$F$35,8-5))&gt;0,INDEX('İzin Planı'!$F$6:$F$35,8-5)&lt;=('Özet'!$C$6+7*15)+6,INDEX('İzin Planı'!$G$6:$G$35,8-5)&gt;=('Özet'!$C$6+7*15)),AND(N(INDEX('İzin Planı'!$I$6:$I$35,8-5))&gt;0,INDEX('İzin Planı'!$I$6:$I$35,8-5)&lt;=('Özet'!$C$6+7*15)+6,INDEX('İzin Planı'!$J$6:$J$35,8-5)&gt;=('Özet'!$C$6+7*15)),AND(N(INDEX('İzin Planı'!$L$6:$L$35,8-5))&gt;0,INDEX('İzin Planı'!$L$6:$L$35,8-5)&lt;=('Özet'!$C$6+7*15)+6,INDEX('İzin Planı'!$M$6:$M$35,8-5)&gt;=('Özet'!$C$6+7*15))),"İ",""))</f>
      </c>
      <c r="S8" s="13">
        <f>IF(INDEX('İzin Planı'!$C$6:$C$35,8-5)="","",IF(OR(AND(N(INDEX('İzin Planı'!$F$6:$F$35,8-5))&gt;0,INDEX('İzin Planı'!$F$6:$F$35,8-5)&lt;=('Özet'!$C$6+7*16)+6,INDEX('İzin Planı'!$G$6:$G$35,8-5)&gt;=('Özet'!$C$6+7*16)),AND(N(INDEX('İzin Planı'!$I$6:$I$35,8-5))&gt;0,INDEX('İzin Planı'!$I$6:$I$35,8-5)&lt;=('Özet'!$C$6+7*16)+6,INDEX('İzin Planı'!$J$6:$J$35,8-5)&gt;=('Özet'!$C$6+7*16)),AND(N(INDEX('İzin Planı'!$L$6:$L$35,8-5))&gt;0,INDEX('İzin Planı'!$L$6:$L$35,8-5)&lt;=('Özet'!$C$6+7*16)+6,INDEX('İzin Planı'!$M$6:$M$35,8-5)&gt;=('Özet'!$C$6+7*16))),"İ",""))</f>
      </c>
      <c r="T8" s="13">
        <f>IF(INDEX('İzin Planı'!$C$6:$C$35,8-5)="","",IF(OR(AND(N(INDEX('İzin Planı'!$F$6:$F$35,8-5))&gt;0,INDEX('İzin Planı'!$F$6:$F$35,8-5)&lt;=('Özet'!$C$6+7*17)+6,INDEX('İzin Planı'!$G$6:$G$35,8-5)&gt;=('Özet'!$C$6+7*17)),AND(N(INDEX('İzin Planı'!$I$6:$I$35,8-5))&gt;0,INDEX('İzin Planı'!$I$6:$I$35,8-5)&lt;=('Özet'!$C$6+7*17)+6,INDEX('İzin Planı'!$J$6:$J$35,8-5)&gt;=('Özet'!$C$6+7*17)),AND(N(INDEX('İzin Planı'!$L$6:$L$35,8-5))&gt;0,INDEX('İzin Planı'!$L$6:$L$35,8-5)&lt;=('Özet'!$C$6+7*17)+6,INDEX('İzin Planı'!$M$6:$M$35,8-5)&gt;=('Özet'!$C$6+7*17))),"İ",""))</f>
      </c>
      <c r="U8" s="13">
        <f>IF(INDEX('İzin Planı'!$C$6:$C$35,8-5)="","",IF(OR(AND(N(INDEX('İzin Planı'!$F$6:$F$35,8-5))&gt;0,INDEX('İzin Planı'!$F$6:$F$35,8-5)&lt;=('Özet'!$C$6+7*18)+6,INDEX('İzin Planı'!$G$6:$G$35,8-5)&gt;=('Özet'!$C$6+7*18)),AND(N(INDEX('İzin Planı'!$I$6:$I$35,8-5))&gt;0,INDEX('İzin Planı'!$I$6:$I$35,8-5)&lt;=('Özet'!$C$6+7*18)+6,INDEX('İzin Planı'!$J$6:$J$35,8-5)&gt;=('Özet'!$C$6+7*18)),AND(N(INDEX('İzin Planı'!$L$6:$L$35,8-5))&gt;0,INDEX('İzin Planı'!$L$6:$L$35,8-5)&lt;=('Özet'!$C$6+7*18)+6,INDEX('İzin Planı'!$M$6:$M$35,8-5)&gt;=('Özet'!$C$6+7*18))),"İ",""))</f>
      </c>
      <c r="V8" s="13">
        <f>IF(INDEX('İzin Planı'!$C$6:$C$35,8-5)="","",IF(OR(AND(N(INDEX('İzin Planı'!$F$6:$F$35,8-5))&gt;0,INDEX('İzin Planı'!$F$6:$F$35,8-5)&lt;=('Özet'!$C$6+7*19)+6,INDEX('İzin Planı'!$G$6:$G$35,8-5)&gt;=('Özet'!$C$6+7*19)),AND(N(INDEX('İzin Planı'!$I$6:$I$35,8-5))&gt;0,INDEX('İzin Planı'!$I$6:$I$35,8-5)&lt;=('Özet'!$C$6+7*19)+6,INDEX('İzin Planı'!$J$6:$J$35,8-5)&gt;=('Özet'!$C$6+7*19)),AND(N(INDEX('İzin Planı'!$L$6:$L$35,8-5))&gt;0,INDEX('İzin Planı'!$L$6:$L$35,8-5)&lt;=('Özet'!$C$6+7*19)+6,INDEX('İzin Planı'!$M$6:$M$35,8-5)&gt;=('Özet'!$C$6+7*19))),"İ",""))</f>
      </c>
      <c r="W8" s="13">
        <f>IF(INDEX('İzin Planı'!$C$6:$C$35,8-5)="","",IF(OR(AND(N(INDEX('İzin Planı'!$F$6:$F$35,8-5))&gt;0,INDEX('İzin Planı'!$F$6:$F$35,8-5)&lt;=('Özet'!$C$6+7*20)+6,INDEX('İzin Planı'!$G$6:$G$35,8-5)&gt;=('Özet'!$C$6+7*20)),AND(N(INDEX('İzin Planı'!$I$6:$I$35,8-5))&gt;0,INDEX('İzin Planı'!$I$6:$I$35,8-5)&lt;=('Özet'!$C$6+7*20)+6,INDEX('İzin Planı'!$J$6:$J$35,8-5)&gt;=('Özet'!$C$6+7*20)),AND(N(INDEX('İzin Planı'!$L$6:$L$35,8-5))&gt;0,INDEX('İzin Planı'!$L$6:$L$35,8-5)&lt;=('Özet'!$C$6+7*20)+6,INDEX('İzin Planı'!$M$6:$M$35,8-5)&gt;=('Özet'!$C$6+7*20))),"İ",""))</f>
      </c>
      <c r="X8" s="13">
        <f>IF(INDEX('İzin Planı'!$C$6:$C$35,8-5)="","",IF(OR(AND(N(INDEX('İzin Planı'!$F$6:$F$35,8-5))&gt;0,INDEX('İzin Planı'!$F$6:$F$35,8-5)&lt;=('Özet'!$C$6+7*21)+6,INDEX('İzin Planı'!$G$6:$G$35,8-5)&gt;=('Özet'!$C$6+7*21)),AND(N(INDEX('İzin Planı'!$I$6:$I$35,8-5))&gt;0,INDEX('İzin Planı'!$I$6:$I$35,8-5)&lt;=('Özet'!$C$6+7*21)+6,INDEX('İzin Planı'!$J$6:$J$35,8-5)&gt;=('Özet'!$C$6+7*21)),AND(N(INDEX('İzin Planı'!$L$6:$L$35,8-5))&gt;0,INDEX('İzin Planı'!$L$6:$L$35,8-5)&lt;=('Özet'!$C$6+7*21)+6,INDEX('İzin Planı'!$M$6:$M$35,8-5)&gt;=('Özet'!$C$6+7*21))),"İ",""))</f>
      </c>
      <c r="Y8" s="13">
        <f>IF(INDEX('İzin Planı'!$C$6:$C$35,8-5)="","",IF(OR(AND(N(INDEX('İzin Planı'!$F$6:$F$35,8-5))&gt;0,INDEX('İzin Planı'!$F$6:$F$35,8-5)&lt;=('Özet'!$C$6+7*22)+6,INDEX('İzin Planı'!$G$6:$G$35,8-5)&gt;=('Özet'!$C$6+7*22)),AND(N(INDEX('İzin Planı'!$I$6:$I$35,8-5))&gt;0,INDEX('İzin Planı'!$I$6:$I$35,8-5)&lt;=('Özet'!$C$6+7*22)+6,INDEX('İzin Planı'!$J$6:$J$35,8-5)&gt;=('Özet'!$C$6+7*22)),AND(N(INDEX('İzin Planı'!$L$6:$L$35,8-5))&gt;0,INDEX('İzin Planı'!$L$6:$L$35,8-5)&lt;=('Özet'!$C$6+7*22)+6,INDEX('İzin Planı'!$M$6:$M$35,8-5)&gt;=('Özet'!$C$6+7*22))),"İ",""))</f>
      </c>
      <c r="Z8" s="13">
        <f>IF(INDEX('İzin Planı'!$C$6:$C$35,8-5)="","",IF(OR(AND(N(INDEX('İzin Planı'!$F$6:$F$35,8-5))&gt;0,INDEX('İzin Planı'!$F$6:$F$35,8-5)&lt;=('Özet'!$C$6+7*23)+6,INDEX('İzin Planı'!$G$6:$G$35,8-5)&gt;=('Özet'!$C$6+7*23)),AND(N(INDEX('İzin Planı'!$I$6:$I$35,8-5))&gt;0,INDEX('İzin Planı'!$I$6:$I$35,8-5)&lt;=('Özet'!$C$6+7*23)+6,INDEX('İzin Planı'!$J$6:$J$35,8-5)&gt;=('Özet'!$C$6+7*23)),AND(N(INDEX('İzin Planı'!$L$6:$L$35,8-5))&gt;0,INDEX('İzin Planı'!$L$6:$L$35,8-5)&lt;=('Özet'!$C$6+7*23)+6,INDEX('İzin Planı'!$M$6:$M$35,8-5)&gt;=('Özet'!$C$6+7*23))),"İ",""))</f>
      </c>
      <c r="AA8" s="13">
        <f>IF(INDEX('İzin Planı'!$C$6:$C$35,8-5)="","",IF(OR(AND(N(INDEX('İzin Planı'!$F$6:$F$35,8-5))&gt;0,INDEX('İzin Planı'!$F$6:$F$35,8-5)&lt;=('Özet'!$C$6+7*24)+6,INDEX('İzin Planı'!$G$6:$G$35,8-5)&gt;=('Özet'!$C$6+7*24)),AND(N(INDEX('İzin Planı'!$I$6:$I$35,8-5))&gt;0,INDEX('İzin Planı'!$I$6:$I$35,8-5)&lt;=('Özet'!$C$6+7*24)+6,INDEX('İzin Planı'!$J$6:$J$35,8-5)&gt;=('Özet'!$C$6+7*24)),AND(N(INDEX('İzin Planı'!$L$6:$L$35,8-5))&gt;0,INDEX('İzin Planı'!$L$6:$L$35,8-5)&lt;=('Özet'!$C$6+7*24)+6,INDEX('İzin Planı'!$M$6:$M$35,8-5)&gt;=('Özet'!$C$6+7*24))),"İ",""))</f>
      </c>
      <c r="AB8" s="13">
        <f>IF(INDEX('İzin Planı'!$C$6:$C$35,8-5)="","",IF(OR(AND(N(INDEX('İzin Planı'!$F$6:$F$35,8-5))&gt;0,INDEX('İzin Planı'!$F$6:$F$35,8-5)&lt;=('Özet'!$C$6+7*25)+6,INDEX('İzin Planı'!$G$6:$G$35,8-5)&gt;=('Özet'!$C$6+7*25)),AND(N(INDEX('İzin Planı'!$I$6:$I$35,8-5))&gt;0,INDEX('İzin Planı'!$I$6:$I$35,8-5)&lt;=('Özet'!$C$6+7*25)+6,INDEX('İzin Planı'!$J$6:$J$35,8-5)&gt;=('Özet'!$C$6+7*25)),AND(N(INDEX('İzin Planı'!$L$6:$L$35,8-5))&gt;0,INDEX('İzin Planı'!$L$6:$L$35,8-5)&lt;=('Özet'!$C$6+7*25)+6,INDEX('İzin Planı'!$M$6:$M$35,8-5)&gt;=('Özet'!$C$6+7*25))),"İ",""))</f>
      </c>
      <c r="AC8" s="13">
        <f>IF(INDEX('İzin Planı'!$C$6:$C$35,8-5)="","",IF(OR(AND(N(INDEX('İzin Planı'!$F$6:$F$35,8-5))&gt;0,INDEX('İzin Planı'!$F$6:$F$35,8-5)&lt;=('Özet'!$C$6+7*26)+6,INDEX('İzin Planı'!$G$6:$G$35,8-5)&gt;=('Özet'!$C$6+7*26)),AND(N(INDEX('İzin Planı'!$I$6:$I$35,8-5))&gt;0,INDEX('İzin Planı'!$I$6:$I$35,8-5)&lt;=('Özet'!$C$6+7*26)+6,INDEX('İzin Planı'!$J$6:$J$35,8-5)&gt;=('Özet'!$C$6+7*26)),AND(N(INDEX('İzin Planı'!$L$6:$L$35,8-5))&gt;0,INDEX('İzin Planı'!$L$6:$L$35,8-5)&lt;=('Özet'!$C$6+7*26)+6,INDEX('İzin Planı'!$M$6:$M$35,8-5)&gt;=('Özet'!$C$6+7*26))),"İ",""))</f>
      </c>
      <c r="AD8" s="13">
        <f>IF(INDEX('İzin Planı'!$C$6:$C$35,8-5)="","",IF(OR(AND(N(INDEX('İzin Planı'!$F$6:$F$35,8-5))&gt;0,INDEX('İzin Planı'!$F$6:$F$35,8-5)&lt;=('Özet'!$C$6+7*27)+6,INDEX('İzin Planı'!$G$6:$G$35,8-5)&gt;=('Özet'!$C$6+7*27)),AND(N(INDEX('İzin Planı'!$I$6:$I$35,8-5))&gt;0,INDEX('İzin Planı'!$I$6:$I$35,8-5)&lt;=('Özet'!$C$6+7*27)+6,INDEX('İzin Planı'!$J$6:$J$35,8-5)&gt;=('Özet'!$C$6+7*27)),AND(N(INDEX('İzin Planı'!$L$6:$L$35,8-5))&gt;0,INDEX('İzin Planı'!$L$6:$L$35,8-5)&lt;=('Özet'!$C$6+7*27)+6,INDEX('İzin Planı'!$M$6:$M$35,8-5)&gt;=('Özet'!$C$6+7*27))),"İ",""))</f>
      </c>
      <c r="AE8" s="13">
        <f>IF(INDEX('İzin Planı'!$C$6:$C$35,8-5)="","",IF(OR(AND(N(INDEX('İzin Planı'!$F$6:$F$35,8-5))&gt;0,INDEX('İzin Planı'!$F$6:$F$35,8-5)&lt;=('Özet'!$C$6+7*28)+6,INDEX('İzin Planı'!$G$6:$G$35,8-5)&gt;=('Özet'!$C$6+7*28)),AND(N(INDEX('İzin Planı'!$I$6:$I$35,8-5))&gt;0,INDEX('İzin Planı'!$I$6:$I$35,8-5)&lt;=('Özet'!$C$6+7*28)+6,INDEX('İzin Planı'!$J$6:$J$35,8-5)&gt;=('Özet'!$C$6+7*28)),AND(N(INDEX('İzin Planı'!$L$6:$L$35,8-5))&gt;0,INDEX('İzin Planı'!$L$6:$L$35,8-5)&lt;=('Özet'!$C$6+7*28)+6,INDEX('İzin Planı'!$M$6:$M$35,8-5)&gt;=('Özet'!$C$6+7*28))),"İ",""))</f>
      </c>
      <c r="AF8" s="13">
        <f>IF(INDEX('İzin Planı'!$C$6:$C$35,8-5)="","",IF(OR(AND(N(INDEX('İzin Planı'!$F$6:$F$35,8-5))&gt;0,INDEX('İzin Planı'!$F$6:$F$35,8-5)&lt;=('Özet'!$C$6+7*29)+6,INDEX('İzin Planı'!$G$6:$G$35,8-5)&gt;=('Özet'!$C$6+7*29)),AND(N(INDEX('İzin Planı'!$I$6:$I$35,8-5))&gt;0,INDEX('İzin Planı'!$I$6:$I$35,8-5)&lt;=('Özet'!$C$6+7*29)+6,INDEX('İzin Planı'!$J$6:$J$35,8-5)&gt;=('Özet'!$C$6+7*29)),AND(N(INDEX('İzin Planı'!$L$6:$L$35,8-5))&gt;0,INDEX('İzin Planı'!$L$6:$L$35,8-5)&lt;=('Özet'!$C$6+7*29)+6,INDEX('İzin Planı'!$M$6:$M$35,8-5)&gt;=('Özet'!$C$6+7*29))),"İ",""))</f>
      </c>
      <c r="AG8" s="13">
        <f>IF(INDEX('İzin Planı'!$C$6:$C$35,8-5)="","",IF(OR(AND(N(INDEX('İzin Planı'!$F$6:$F$35,8-5))&gt;0,INDEX('İzin Planı'!$F$6:$F$35,8-5)&lt;=('Özet'!$C$6+7*30)+6,INDEX('İzin Planı'!$G$6:$G$35,8-5)&gt;=('Özet'!$C$6+7*30)),AND(N(INDEX('İzin Planı'!$I$6:$I$35,8-5))&gt;0,INDEX('İzin Planı'!$I$6:$I$35,8-5)&lt;=('Özet'!$C$6+7*30)+6,INDEX('İzin Planı'!$J$6:$J$35,8-5)&gt;=('Özet'!$C$6+7*30)),AND(N(INDEX('İzin Planı'!$L$6:$L$35,8-5))&gt;0,INDEX('İzin Planı'!$L$6:$L$35,8-5)&lt;=('Özet'!$C$6+7*30)+6,INDEX('İzin Planı'!$M$6:$M$35,8-5)&gt;=('Özet'!$C$6+7*30))),"İ",""))</f>
      </c>
      <c r="AH8" s="13">
        <f>IF(INDEX('İzin Planı'!$C$6:$C$35,8-5)="","",IF(OR(AND(N(INDEX('İzin Planı'!$F$6:$F$35,8-5))&gt;0,INDEX('İzin Planı'!$F$6:$F$35,8-5)&lt;=('Özet'!$C$6+7*31)+6,INDEX('İzin Planı'!$G$6:$G$35,8-5)&gt;=('Özet'!$C$6+7*31)),AND(N(INDEX('İzin Planı'!$I$6:$I$35,8-5))&gt;0,INDEX('İzin Planı'!$I$6:$I$35,8-5)&lt;=('Özet'!$C$6+7*31)+6,INDEX('İzin Planı'!$J$6:$J$35,8-5)&gt;=('Özet'!$C$6+7*31)),AND(N(INDEX('İzin Planı'!$L$6:$L$35,8-5))&gt;0,INDEX('İzin Planı'!$L$6:$L$35,8-5)&lt;=('Özet'!$C$6+7*31)+6,INDEX('İzin Planı'!$M$6:$M$35,8-5)&gt;=('Özet'!$C$6+7*31))),"İ",""))</f>
      </c>
      <c r="AI8" s="13">
        <f>IF(INDEX('İzin Planı'!$C$6:$C$35,8-5)="","",IF(OR(AND(N(INDEX('İzin Planı'!$F$6:$F$35,8-5))&gt;0,INDEX('İzin Planı'!$F$6:$F$35,8-5)&lt;=('Özet'!$C$6+7*32)+6,INDEX('İzin Planı'!$G$6:$G$35,8-5)&gt;=('Özet'!$C$6+7*32)),AND(N(INDEX('İzin Planı'!$I$6:$I$35,8-5))&gt;0,INDEX('İzin Planı'!$I$6:$I$35,8-5)&lt;=('Özet'!$C$6+7*32)+6,INDEX('İzin Planı'!$J$6:$J$35,8-5)&gt;=('Özet'!$C$6+7*32)),AND(N(INDEX('İzin Planı'!$L$6:$L$35,8-5))&gt;0,INDEX('İzin Planı'!$L$6:$L$35,8-5)&lt;=('Özet'!$C$6+7*32)+6,INDEX('İzin Planı'!$M$6:$M$35,8-5)&gt;=('Özet'!$C$6+7*32))),"İ",""))</f>
      </c>
      <c r="AJ8" s="13">
        <f>IF(INDEX('İzin Planı'!$C$6:$C$35,8-5)="","",IF(OR(AND(N(INDEX('İzin Planı'!$F$6:$F$35,8-5))&gt;0,INDEX('İzin Planı'!$F$6:$F$35,8-5)&lt;=('Özet'!$C$6+7*33)+6,INDEX('İzin Planı'!$G$6:$G$35,8-5)&gt;=('Özet'!$C$6+7*33)),AND(N(INDEX('İzin Planı'!$I$6:$I$35,8-5))&gt;0,INDEX('İzin Planı'!$I$6:$I$35,8-5)&lt;=('Özet'!$C$6+7*33)+6,INDEX('İzin Planı'!$J$6:$J$35,8-5)&gt;=('Özet'!$C$6+7*33)),AND(N(INDEX('İzin Planı'!$L$6:$L$35,8-5))&gt;0,INDEX('İzin Planı'!$L$6:$L$35,8-5)&lt;=('Özet'!$C$6+7*33)+6,INDEX('İzin Planı'!$M$6:$M$35,8-5)&gt;=('Özet'!$C$6+7*33))),"İ",""))</f>
      </c>
      <c r="AK8" s="13">
        <f>IF(INDEX('İzin Planı'!$C$6:$C$35,8-5)="","",IF(OR(AND(N(INDEX('İzin Planı'!$F$6:$F$35,8-5))&gt;0,INDEX('İzin Planı'!$F$6:$F$35,8-5)&lt;=('Özet'!$C$6+7*34)+6,INDEX('İzin Planı'!$G$6:$G$35,8-5)&gt;=('Özet'!$C$6+7*34)),AND(N(INDEX('İzin Planı'!$I$6:$I$35,8-5))&gt;0,INDEX('İzin Planı'!$I$6:$I$35,8-5)&lt;=('Özet'!$C$6+7*34)+6,INDEX('İzin Planı'!$J$6:$J$35,8-5)&gt;=('Özet'!$C$6+7*34)),AND(N(INDEX('İzin Planı'!$L$6:$L$35,8-5))&gt;0,INDEX('İzin Planı'!$L$6:$L$35,8-5)&lt;=('Özet'!$C$6+7*34)+6,INDEX('İzin Planı'!$M$6:$M$35,8-5)&gt;=('Özet'!$C$6+7*34))),"İ",""))</f>
      </c>
      <c r="AL8" s="13">
        <f>IF(INDEX('İzin Planı'!$C$6:$C$35,8-5)="","",IF(OR(AND(N(INDEX('İzin Planı'!$F$6:$F$35,8-5))&gt;0,INDEX('İzin Planı'!$F$6:$F$35,8-5)&lt;=('Özet'!$C$6+7*35)+6,INDEX('İzin Planı'!$G$6:$G$35,8-5)&gt;=('Özet'!$C$6+7*35)),AND(N(INDEX('İzin Planı'!$I$6:$I$35,8-5))&gt;0,INDEX('İzin Planı'!$I$6:$I$35,8-5)&lt;=('Özet'!$C$6+7*35)+6,INDEX('İzin Planı'!$J$6:$J$35,8-5)&gt;=('Özet'!$C$6+7*35)),AND(N(INDEX('İzin Planı'!$L$6:$L$35,8-5))&gt;0,INDEX('İzin Planı'!$L$6:$L$35,8-5)&lt;=('Özet'!$C$6+7*35)+6,INDEX('İzin Planı'!$M$6:$M$35,8-5)&gt;=('Özet'!$C$6+7*35))),"İ",""))</f>
      </c>
      <c r="AM8" s="13">
        <f>IF(INDEX('İzin Planı'!$C$6:$C$35,8-5)="","",IF(OR(AND(N(INDEX('İzin Planı'!$F$6:$F$35,8-5))&gt;0,INDEX('İzin Planı'!$F$6:$F$35,8-5)&lt;=('Özet'!$C$6+7*36)+6,INDEX('İzin Planı'!$G$6:$G$35,8-5)&gt;=('Özet'!$C$6+7*36)),AND(N(INDEX('İzin Planı'!$I$6:$I$35,8-5))&gt;0,INDEX('İzin Planı'!$I$6:$I$35,8-5)&lt;=('Özet'!$C$6+7*36)+6,INDEX('İzin Planı'!$J$6:$J$35,8-5)&gt;=('Özet'!$C$6+7*36)),AND(N(INDEX('İzin Planı'!$L$6:$L$35,8-5))&gt;0,INDEX('İzin Planı'!$L$6:$L$35,8-5)&lt;=('Özet'!$C$6+7*36)+6,INDEX('İzin Planı'!$M$6:$M$35,8-5)&gt;=('Özet'!$C$6+7*36))),"İ",""))</f>
      </c>
      <c r="AN8" s="13">
        <f>IF(INDEX('İzin Planı'!$C$6:$C$35,8-5)="","",IF(OR(AND(N(INDEX('İzin Planı'!$F$6:$F$35,8-5))&gt;0,INDEX('İzin Planı'!$F$6:$F$35,8-5)&lt;=('Özet'!$C$6+7*37)+6,INDEX('İzin Planı'!$G$6:$G$35,8-5)&gt;=('Özet'!$C$6+7*37)),AND(N(INDEX('İzin Planı'!$I$6:$I$35,8-5))&gt;0,INDEX('İzin Planı'!$I$6:$I$35,8-5)&lt;=('Özet'!$C$6+7*37)+6,INDEX('İzin Planı'!$J$6:$J$35,8-5)&gt;=('Özet'!$C$6+7*37)),AND(N(INDEX('İzin Planı'!$L$6:$L$35,8-5))&gt;0,INDEX('İzin Planı'!$L$6:$L$35,8-5)&lt;=('Özet'!$C$6+7*37)+6,INDEX('İzin Planı'!$M$6:$M$35,8-5)&gt;=('Özet'!$C$6+7*37))),"İ",""))</f>
      </c>
      <c r="AO8" s="13">
        <f>IF(INDEX('İzin Planı'!$C$6:$C$35,8-5)="","",IF(OR(AND(N(INDEX('İzin Planı'!$F$6:$F$35,8-5))&gt;0,INDEX('İzin Planı'!$F$6:$F$35,8-5)&lt;=('Özet'!$C$6+7*38)+6,INDEX('İzin Planı'!$G$6:$G$35,8-5)&gt;=('Özet'!$C$6+7*38)),AND(N(INDEX('İzin Planı'!$I$6:$I$35,8-5))&gt;0,INDEX('İzin Planı'!$I$6:$I$35,8-5)&lt;=('Özet'!$C$6+7*38)+6,INDEX('İzin Planı'!$J$6:$J$35,8-5)&gt;=('Özet'!$C$6+7*38)),AND(N(INDEX('İzin Planı'!$L$6:$L$35,8-5))&gt;0,INDEX('İzin Planı'!$L$6:$L$35,8-5)&lt;=('Özet'!$C$6+7*38)+6,INDEX('İzin Planı'!$M$6:$M$35,8-5)&gt;=('Özet'!$C$6+7*38))),"İ",""))</f>
      </c>
      <c r="AP8" s="13">
        <f>IF(INDEX('İzin Planı'!$C$6:$C$35,8-5)="","",IF(OR(AND(N(INDEX('İzin Planı'!$F$6:$F$35,8-5))&gt;0,INDEX('İzin Planı'!$F$6:$F$35,8-5)&lt;=('Özet'!$C$6+7*39)+6,INDEX('İzin Planı'!$G$6:$G$35,8-5)&gt;=('Özet'!$C$6+7*39)),AND(N(INDEX('İzin Planı'!$I$6:$I$35,8-5))&gt;0,INDEX('İzin Planı'!$I$6:$I$35,8-5)&lt;=('Özet'!$C$6+7*39)+6,INDEX('İzin Planı'!$J$6:$J$35,8-5)&gt;=('Özet'!$C$6+7*39)),AND(N(INDEX('İzin Planı'!$L$6:$L$35,8-5))&gt;0,INDEX('İzin Planı'!$L$6:$L$35,8-5)&lt;=('Özet'!$C$6+7*39)+6,INDEX('İzin Planı'!$M$6:$M$35,8-5)&gt;=('Özet'!$C$6+7*39))),"İ",""))</f>
      </c>
      <c r="AQ8" s="13">
        <f>IF(INDEX('İzin Planı'!$C$6:$C$35,8-5)="","",IF(OR(AND(N(INDEX('İzin Planı'!$F$6:$F$35,8-5))&gt;0,INDEX('İzin Planı'!$F$6:$F$35,8-5)&lt;=('Özet'!$C$6+7*40)+6,INDEX('İzin Planı'!$G$6:$G$35,8-5)&gt;=('Özet'!$C$6+7*40)),AND(N(INDEX('İzin Planı'!$I$6:$I$35,8-5))&gt;0,INDEX('İzin Planı'!$I$6:$I$35,8-5)&lt;=('Özet'!$C$6+7*40)+6,INDEX('İzin Planı'!$J$6:$J$35,8-5)&gt;=('Özet'!$C$6+7*40)),AND(N(INDEX('İzin Planı'!$L$6:$L$35,8-5))&gt;0,INDEX('İzin Planı'!$L$6:$L$35,8-5)&lt;=('Özet'!$C$6+7*40)+6,INDEX('İzin Planı'!$M$6:$M$35,8-5)&gt;=('Özet'!$C$6+7*40))),"İ",""))</f>
      </c>
      <c r="AR8" s="13">
        <f>IF(INDEX('İzin Planı'!$C$6:$C$35,8-5)="","",IF(OR(AND(N(INDEX('İzin Planı'!$F$6:$F$35,8-5))&gt;0,INDEX('İzin Planı'!$F$6:$F$35,8-5)&lt;=('Özet'!$C$6+7*41)+6,INDEX('İzin Planı'!$G$6:$G$35,8-5)&gt;=('Özet'!$C$6+7*41)),AND(N(INDEX('İzin Planı'!$I$6:$I$35,8-5))&gt;0,INDEX('İzin Planı'!$I$6:$I$35,8-5)&lt;=('Özet'!$C$6+7*41)+6,INDEX('İzin Planı'!$J$6:$J$35,8-5)&gt;=('Özet'!$C$6+7*41)),AND(N(INDEX('İzin Planı'!$L$6:$L$35,8-5))&gt;0,INDEX('İzin Planı'!$L$6:$L$35,8-5)&lt;=('Özet'!$C$6+7*41)+6,INDEX('İzin Planı'!$M$6:$M$35,8-5)&gt;=('Özet'!$C$6+7*41))),"İ",""))</f>
      </c>
      <c r="AS8" s="13">
        <f>IF(INDEX('İzin Planı'!$C$6:$C$35,8-5)="","",IF(OR(AND(N(INDEX('İzin Planı'!$F$6:$F$35,8-5))&gt;0,INDEX('İzin Planı'!$F$6:$F$35,8-5)&lt;=('Özet'!$C$6+7*42)+6,INDEX('İzin Planı'!$G$6:$G$35,8-5)&gt;=('Özet'!$C$6+7*42)),AND(N(INDEX('İzin Planı'!$I$6:$I$35,8-5))&gt;0,INDEX('İzin Planı'!$I$6:$I$35,8-5)&lt;=('Özet'!$C$6+7*42)+6,INDEX('İzin Planı'!$J$6:$J$35,8-5)&gt;=('Özet'!$C$6+7*42)),AND(N(INDEX('İzin Planı'!$L$6:$L$35,8-5))&gt;0,INDEX('İzin Planı'!$L$6:$L$35,8-5)&lt;=('Özet'!$C$6+7*42)+6,INDEX('İzin Planı'!$M$6:$M$35,8-5)&gt;=('Özet'!$C$6+7*42))),"İ",""))</f>
      </c>
      <c r="AT8" s="13">
        <f>IF(INDEX('İzin Planı'!$C$6:$C$35,8-5)="","",IF(OR(AND(N(INDEX('İzin Planı'!$F$6:$F$35,8-5))&gt;0,INDEX('İzin Planı'!$F$6:$F$35,8-5)&lt;=('Özet'!$C$6+7*43)+6,INDEX('İzin Planı'!$G$6:$G$35,8-5)&gt;=('Özet'!$C$6+7*43)),AND(N(INDEX('İzin Planı'!$I$6:$I$35,8-5))&gt;0,INDEX('İzin Planı'!$I$6:$I$35,8-5)&lt;=('Özet'!$C$6+7*43)+6,INDEX('İzin Planı'!$J$6:$J$35,8-5)&gt;=('Özet'!$C$6+7*43)),AND(N(INDEX('İzin Planı'!$L$6:$L$35,8-5))&gt;0,INDEX('İzin Planı'!$L$6:$L$35,8-5)&lt;=('Özet'!$C$6+7*43)+6,INDEX('İzin Planı'!$M$6:$M$35,8-5)&gt;=('Özet'!$C$6+7*43))),"İ",""))</f>
      </c>
      <c r="AU8" s="13">
        <f>IF(INDEX('İzin Planı'!$C$6:$C$35,8-5)="","",IF(OR(AND(N(INDEX('İzin Planı'!$F$6:$F$35,8-5))&gt;0,INDEX('İzin Planı'!$F$6:$F$35,8-5)&lt;=('Özet'!$C$6+7*44)+6,INDEX('İzin Planı'!$G$6:$G$35,8-5)&gt;=('Özet'!$C$6+7*44)),AND(N(INDEX('İzin Planı'!$I$6:$I$35,8-5))&gt;0,INDEX('İzin Planı'!$I$6:$I$35,8-5)&lt;=('Özet'!$C$6+7*44)+6,INDEX('İzin Planı'!$J$6:$J$35,8-5)&gt;=('Özet'!$C$6+7*44)),AND(N(INDEX('İzin Planı'!$L$6:$L$35,8-5))&gt;0,INDEX('İzin Planı'!$L$6:$L$35,8-5)&lt;=('Özet'!$C$6+7*44)+6,INDEX('İzin Planı'!$M$6:$M$35,8-5)&gt;=('Özet'!$C$6+7*44))),"İ",""))</f>
      </c>
      <c r="AV8" s="13">
        <f>IF(INDEX('İzin Planı'!$C$6:$C$35,8-5)="","",IF(OR(AND(N(INDEX('İzin Planı'!$F$6:$F$35,8-5))&gt;0,INDEX('İzin Planı'!$F$6:$F$35,8-5)&lt;=('Özet'!$C$6+7*45)+6,INDEX('İzin Planı'!$G$6:$G$35,8-5)&gt;=('Özet'!$C$6+7*45)),AND(N(INDEX('İzin Planı'!$I$6:$I$35,8-5))&gt;0,INDEX('İzin Planı'!$I$6:$I$35,8-5)&lt;=('Özet'!$C$6+7*45)+6,INDEX('İzin Planı'!$J$6:$J$35,8-5)&gt;=('Özet'!$C$6+7*45)),AND(N(INDEX('İzin Planı'!$L$6:$L$35,8-5))&gt;0,INDEX('İzin Planı'!$L$6:$L$35,8-5)&lt;=('Özet'!$C$6+7*45)+6,INDEX('İzin Planı'!$M$6:$M$35,8-5)&gt;=('Özet'!$C$6+7*45))),"İ",""))</f>
      </c>
      <c r="AW8" s="13">
        <f>IF(INDEX('İzin Planı'!$C$6:$C$35,8-5)="","",IF(OR(AND(N(INDEX('İzin Planı'!$F$6:$F$35,8-5))&gt;0,INDEX('İzin Planı'!$F$6:$F$35,8-5)&lt;=('Özet'!$C$6+7*46)+6,INDEX('İzin Planı'!$G$6:$G$35,8-5)&gt;=('Özet'!$C$6+7*46)),AND(N(INDEX('İzin Planı'!$I$6:$I$35,8-5))&gt;0,INDEX('İzin Planı'!$I$6:$I$35,8-5)&lt;=('Özet'!$C$6+7*46)+6,INDEX('İzin Planı'!$J$6:$J$35,8-5)&gt;=('Özet'!$C$6+7*46)),AND(N(INDEX('İzin Planı'!$L$6:$L$35,8-5))&gt;0,INDEX('İzin Planı'!$L$6:$L$35,8-5)&lt;=('Özet'!$C$6+7*46)+6,INDEX('İzin Planı'!$M$6:$M$35,8-5)&gt;=('Özet'!$C$6+7*46))),"İ",""))</f>
      </c>
      <c r="AX8" s="13">
        <f>IF(INDEX('İzin Planı'!$C$6:$C$35,8-5)="","",IF(OR(AND(N(INDEX('İzin Planı'!$F$6:$F$35,8-5))&gt;0,INDEX('İzin Planı'!$F$6:$F$35,8-5)&lt;=('Özet'!$C$6+7*47)+6,INDEX('İzin Planı'!$G$6:$G$35,8-5)&gt;=('Özet'!$C$6+7*47)),AND(N(INDEX('İzin Planı'!$I$6:$I$35,8-5))&gt;0,INDEX('İzin Planı'!$I$6:$I$35,8-5)&lt;=('Özet'!$C$6+7*47)+6,INDEX('İzin Planı'!$J$6:$J$35,8-5)&gt;=('Özet'!$C$6+7*47)),AND(N(INDEX('İzin Planı'!$L$6:$L$35,8-5))&gt;0,INDEX('İzin Planı'!$L$6:$L$35,8-5)&lt;=('Özet'!$C$6+7*47)+6,INDEX('İzin Planı'!$M$6:$M$35,8-5)&gt;=('Özet'!$C$6+7*47))),"İ",""))</f>
      </c>
      <c r="AY8" s="13">
        <f>IF(INDEX('İzin Planı'!$C$6:$C$35,8-5)="","",IF(OR(AND(N(INDEX('İzin Planı'!$F$6:$F$35,8-5))&gt;0,INDEX('İzin Planı'!$F$6:$F$35,8-5)&lt;=('Özet'!$C$6+7*48)+6,INDEX('İzin Planı'!$G$6:$G$35,8-5)&gt;=('Özet'!$C$6+7*48)),AND(N(INDEX('İzin Planı'!$I$6:$I$35,8-5))&gt;0,INDEX('İzin Planı'!$I$6:$I$35,8-5)&lt;=('Özet'!$C$6+7*48)+6,INDEX('İzin Planı'!$J$6:$J$35,8-5)&gt;=('Özet'!$C$6+7*48)),AND(N(INDEX('İzin Planı'!$L$6:$L$35,8-5))&gt;0,INDEX('İzin Planı'!$L$6:$L$35,8-5)&lt;=('Özet'!$C$6+7*48)+6,INDEX('İzin Planı'!$M$6:$M$35,8-5)&gt;=('Özet'!$C$6+7*48))),"İ",""))</f>
      </c>
      <c r="AZ8" s="13">
        <f>IF(INDEX('İzin Planı'!$C$6:$C$35,8-5)="","",IF(OR(AND(N(INDEX('İzin Planı'!$F$6:$F$35,8-5))&gt;0,INDEX('İzin Planı'!$F$6:$F$35,8-5)&lt;=('Özet'!$C$6+7*49)+6,INDEX('İzin Planı'!$G$6:$G$35,8-5)&gt;=('Özet'!$C$6+7*49)),AND(N(INDEX('İzin Planı'!$I$6:$I$35,8-5))&gt;0,INDEX('İzin Planı'!$I$6:$I$35,8-5)&lt;=('Özet'!$C$6+7*49)+6,INDEX('İzin Planı'!$J$6:$J$35,8-5)&gt;=('Özet'!$C$6+7*49)),AND(N(INDEX('İzin Planı'!$L$6:$L$35,8-5))&gt;0,INDEX('İzin Planı'!$L$6:$L$35,8-5)&lt;=('Özet'!$C$6+7*49)+6,INDEX('İzin Planı'!$M$6:$M$35,8-5)&gt;=('Özet'!$C$6+7*49))),"İ",""))</f>
      </c>
      <c r="BA8" s="13">
        <f>IF(INDEX('İzin Planı'!$C$6:$C$35,8-5)="","",IF(OR(AND(N(INDEX('İzin Planı'!$F$6:$F$35,8-5))&gt;0,INDEX('İzin Planı'!$F$6:$F$35,8-5)&lt;=('Özet'!$C$6+7*50)+6,INDEX('İzin Planı'!$G$6:$G$35,8-5)&gt;=('Özet'!$C$6+7*50)),AND(N(INDEX('İzin Planı'!$I$6:$I$35,8-5))&gt;0,INDEX('İzin Planı'!$I$6:$I$35,8-5)&lt;=('Özet'!$C$6+7*50)+6,INDEX('İzin Planı'!$J$6:$J$35,8-5)&gt;=('Özet'!$C$6+7*50)),AND(N(INDEX('İzin Planı'!$L$6:$L$35,8-5))&gt;0,INDEX('İzin Planı'!$L$6:$L$35,8-5)&lt;=('Özet'!$C$6+7*50)+6,INDEX('İzin Planı'!$M$6:$M$35,8-5)&gt;=('Özet'!$C$6+7*50))),"İ",""))</f>
      </c>
      <c r="BB8" s="13">
        <f>IF(INDEX('İzin Planı'!$C$6:$C$35,8-5)="","",IF(OR(AND(N(INDEX('İzin Planı'!$F$6:$F$35,8-5))&gt;0,INDEX('İzin Planı'!$F$6:$F$35,8-5)&lt;=('Özet'!$C$6+7*51)+6,INDEX('İzin Planı'!$G$6:$G$35,8-5)&gt;=('Özet'!$C$6+7*51)),AND(N(INDEX('İzin Planı'!$I$6:$I$35,8-5))&gt;0,INDEX('İzin Planı'!$I$6:$I$35,8-5)&lt;=('Özet'!$C$6+7*51)+6,INDEX('İzin Planı'!$J$6:$J$35,8-5)&gt;=('Özet'!$C$6+7*51)),AND(N(INDEX('İzin Planı'!$L$6:$L$35,8-5))&gt;0,INDEX('İzin Planı'!$L$6:$L$35,8-5)&lt;=('Özet'!$C$6+7*51)+6,INDEX('İzin Planı'!$M$6:$M$35,8-5)&gt;=('Özet'!$C$6+7*51))),"İ",""))</f>
      </c>
      <c r="BC8" s="13">
        <f>IF(INDEX('İzin Planı'!$C$6:$C$35,8-5)="","",IF(OR(AND(N(INDEX('İzin Planı'!$F$6:$F$35,8-5))&gt;0,INDEX('İzin Planı'!$F$6:$F$35,8-5)&lt;=('Özet'!$C$6+7*52)+6,INDEX('İzin Planı'!$G$6:$G$35,8-5)&gt;=('Özet'!$C$6+7*52)),AND(N(INDEX('İzin Planı'!$I$6:$I$35,8-5))&gt;0,INDEX('İzin Planı'!$I$6:$I$35,8-5)&lt;=('Özet'!$C$6+7*52)+6,INDEX('İzin Planı'!$J$6:$J$35,8-5)&gt;=('Özet'!$C$6+7*52)),AND(N(INDEX('İzin Planı'!$L$6:$L$35,8-5))&gt;0,INDEX('İzin Planı'!$L$6:$L$35,8-5)&lt;=('Özet'!$C$6+7*52)+6,INDEX('İzin Planı'!$M$6:$M$35,8-5)&gt;=('Özet'!$C$6+7*52))),"İ",""))</f>
      </c>
    </row>
    <row r="9" ht="18" customHeight="1" spans="1:55" x14ac:dyDescent="0.25">
      <c r="A9" s="6">
        <v>4</v>
      </c>
      <c r="B9" s="13">
        <f>IF(INDEX('İzin Planı'!$C$6:$C$35,9-5)="","",INDEX('İzin Planı'!$C$6:$C$35,9-5))</f>
      </c>
      <c r="C9" s="13">
        <f>IF(INDEX('İzin Planı'!$C$6:$C$35,9-5)="","",IF(OR(AND(N(INDEX('İzin Planı'!$F$6:$F$35,9-5))&gt;0,INDEX('İzin Planı'!$F$6:$F$35,9-5)&lt;=('Özet'!$C$6+7*0)+6,INDEX('İzin Planı'!$G$6:$G$35,9-5)&gt;=('Özet'!$C$6+7*0)),AND(N(INDEX('İzin Planı'!$I$6:$I$35,9-5))&gt;0,INDEX('İzin Planı'!$I$6:$I$35,9-5)&lt;=('Özet'!$C$6+7*0)+6,INDEX('İzin Planı'!$J$6:$J$35,9-5)&gt;=('Özet'!$C$6+7*0)),AND(N(INDEX('İzin Planı'!$L$6:$L$35,9-5))&gt;0,INDEX('İzin Planı'!$L$6:$L$35,9-5)&lt;=('Özet'!$C$6+7*0)+6,INDEX('İzin Planı'!$M$6:$M$35,9-5)&gt;=('Özet'!$C$6+7*0))),"İ",""))</f>
      </c>
      <c r="D9" s="13">
        <f>IF(INDEX('İzin Planı'!$C$6:$C$35,9-5)="","",IF(OR(AND(N(INDEX('İzin Planı'!$F$6:$F$35,9-5))&gt;0,INDEX('İzin Planı'!$F$6:$F$35,9-5)&lt;=('Özet'!$C$6+7*1)+6,INDEX('İzin Planı'!$G$6:$G$35,9-5)&gt;=('Özet'!$C$6+7*1)),AND(N(INDEX('İzin Planı'!$I$6:$I$35,9-5))&gt;0,INDEX('İzin Planı'!$I$6:$I$35,9-5)&lt;=('Özet'!$C$6+7*1)+6,INDEX('İzin Planı'!$J$6:$J$35,9-5)&gt;=('Özet'!$C$6+7*1)),AND(N(INDEX('İzin Planı'!$L$6:$L$35,9-5))&gt;0,INDEX('İzin Planı'!$L$6:$L$35,9-5)&lt;=('Özet'!$C$6+7*1)+6,INDEX('İzin Planı'!$M$6:$M$35,9-5)&gt;=('Özet'!$C$6+7*1))),"İ",""))</f>
      </c>
      <c r="E9" s="13">
        <f>IF(INDEX('İzin Planı'!$C$6:$C$35,9-5)="","",IF(OR(AND(N(INDEX('İzin Planı'!$F$6:$F$35,9-5))&gt;0,INDEX('İzin Planı'!$F$6:$F$35,9-5)&lt;=('Özet'!$C$6+7*2)+6,INDEX('İzin Planı'!$G$6:$G$35,9-5)&gt;=('Özet'!$C$6+7*2)),AND(N(INDEX('İzin Planı'!$I$6:$I$35,9-5))&gt;0,INDEX('İzin Planı'!$I$6:$I$35,9-5)&lt;=('Özet'!$C$6+7*2)+6,INDEX('İzin Planı'!$J$6:$J$35,9-5)&gt;=('Özet'!$C$6+7*2)),AND(N(INDEX('İzin Planı'!$L$6:$L$35,9-5))&gt;0,INDEX('İzin Planı'!$L$6:$L$35,9-5)&lt;=('Özet'!$C$6+7*2)+6,INDEX('İzin Planı'!$M$6:$M$35,9-5)&gt;=('Özet'!$C$6+7*2))),"İ",""))</f>
      </c>
      <c r="F9" s="13">
        <f>IF(INDEX('İzin Planı'!$C$6:$C$35,9-5)="","",IF(OR(AND(N(INDEX('İzin Planı'!$F$6:$F$35,9-5))&gt;0,INDEX('İzin Planı'!$F$6:$F$35,9-5)&lt;=('Özet'!$C$6+7*3)+6,INDEX('İzin Planı'!$G$6:$G$35,9-5)&gt;=('Özet'!$C$6+7*3)),AND(N(INDEX('İzin Planı'!$I$6:$I$35,9-5))&gt;0,INDEX('İzin Planı'!$I$6:$I$35,9-5)&lt;=('Özet'!$C$6+7*3)+6,INDEX('İzin Planı'!$J$6:$J$35,9-5)&gt;=('Özet'!$C$6+7*3)),AND(N(INDEX('İzin Planı'!$L$6:$L$35,9-5))&gt;0,INDEX('İzin Planı'!$L$6:$L$35,9-5)&lt;=('Özet'!$C$6+7*3)+6,INDEX('İzin Planı'!$M$6:$M$35,9-5)&gt;=('Özet'!$C$6+7*3))),"İ",""))</f>
      </c>
      <c r="G9" s="13">
        <f>IF(INDEX('İzin Planı'!$C$6:$C$35,9-5)="","",IF(OR(AND(N(INDEX('İzin Planı'!$F$6:$F$35,9-5))&gt;0,INDEX('İzin Planı'!$F$6:$F$35,9-5)&lt;=('Özet'!$C$6+7*4)+6,INDEX('İzin Planı'!$G$6:$G$35,9-5)&gt;=('Özet'!$C$6+7*4)),AND(N(INDEX('İzin Planı'!$I$6:$I$35,9-5))&gt;0,INDEX('İzin Planı'!$I$6:$I$35,9-5)&lt;=('Özet'!$C$6+7*4)+6,INDEX('İzin Planı'!$J$6:$J$35,9-5)&gt;=('Özet'!$C$6+7*4)),AND(N(INDEX('İzin Planı'!$L$6:$L$35,9-5))&gt;0,INDEX('İzin Planı'!$L$6:$L$35,9-5)&lt;=('Özet'!$C$6+7*4)+6,INDEX('İzin Planı'!$M$6:$M$35,9-5)&gt;=('Özet'!$C$6+7*4))),"İ",""))</f>
      </c>
      <c r="H9" s="13">
        <f>IF(INDEX('İzin Planı'!$C$6:$C$35,9-5)="","",IF(OR(AND(N(INDEX('İzin Planı'!$F$6:$F$35,9-5))&gt;0,INDEX('İzin Planı'!$F$6:$F$35,9-5)&lt;=('Özet'!$C$6+7*5)+6,INDEX('İzin Planı'!$G$6:$G$35,9-5)&gt;=('Özet'!$C$6+7*5)),AND(N(INDEX('İzin Planı'!$I$6:$I$35,9-5))&gt;0,INDEX('İzin Planı'!$I$6:$I$35,9-5)&lt;=('Özet'!$C$6+7*5)+6,INDEX('İzin Planı'!$J$6:$J$35,9-5)&gt;=('Özet'!$C$6+7*5)),AND(N(INDEX('İzin Planı'!$L$6:$L$35,9-5))&gt;0,INDEX('İzin Planı'!$L$6:$L$35,9-5)&lt;=('Özet'!$C$6+7*5)+6,INDEX('İzin Planı'!$M$6:$M$35,9-5)&gt;=('Özet'!$C$6+7*5))),"İ",""))</f>
      </c>
      <c r="I9" s="13">
        <f>IF(INDEX('İzin Planı'!$C$6:$C$35,9-5)="","",IF(OR(AND(N(INDEX('İzin Planı'!$F$6:$F$35,9-5))&gt;0,INDEX('İzin Planı'!$F$6:$F$35,9-5)&lt;=('Özet'!$C$6+7*6)+6,INDEX('İzin Planı'!$G$6:$G$35,9-5)&gt;=('Özet'!$C$6+7*6)),AND(N(INDEX('İzin Planı'!$I$6:$I$35,9-5))&gt;0,INDEX('İzin Planı'!$I$6:$I$35,9-5)&lt;=('Özet'!$C$6+7*6)+6,INDEX('İzin Planı'!$J$6:$J$35,9-5)&gt;=('Özet'!$C$6+7*6)),AND(N(INDEX('İzin Planı'!$L$6:$L$35,9-5))&gt;0,INDEX('İzin Planı'!$L$6:$L$35,9-5)&lt;=('Özet'!$C$6+7*6)+6,INDEX('İzin Planı'!$M$6:$M$35,9-5)&gt;=('Özet'!$C$6+7*6))),"İ",""))</f>
      </c>
      <c r="J9" s="13">
        <f>IF(INDEX('İzin Planı'!$C$6:$C$35,9-5)="","",IF(OR(AND(N(INDEX('İzin Planı'!$F$6:$F$35,9-5))&gt;0,INDEX('İzin Planı'!$F$6:$F$35,9-5)&lt;=('Özet'!$C$6+7*7)+6,INDEX('İzin Planı'!$G$6:$G$35,9-5)&gt;=('Özet'!$C$6+7*7)),AND(N(INDEX('İzin Planı'!$I$6:$I$35,9-5))&gt;0,INDEX('İzin Planı'!$I$6:$I$35,9-5)&lt;=('Özet'!$C$6+7*7)+6,INDEX('İzin Planı'!$J$6:$J$35,9-5)&gt;=('Özet'!$C$6+7*7)),AND(N(INDEX('İzin Planı'!$L$6:$L$35,9-5))&gt;0,INDEX('İzin Planı'!$L$6:$L$35,9-5)&lt;=('Özet'!$C$6+7*7)+6,INDEX('İzin Planı'!$M$6:$M$35,9-5)&gt;=('Özet'!$C$6+7*7))),"İ",""))</f>
      </c>
      <c r="K9" s="13">
        <f>IF(INDEX('İzin Planı'!$C$6:$C$35,9-5)="","",IF(OR(AND(N(INDEX('İzin Planı'!$F$6:$F$35,9-5))&gt;0,INDEX('İzin Planı'!$F$6:$F$35,9-5)&lt;=('Özet'!$C$6+7*8)+6,INDEX('İzin Planı'!$G$6:$G$35,9-5)&gt;=('Özet'!$C$6+7*8)),AND(N(INDEX('İzin Planı'!$I$6:$I$35,9-5))&gt;0,INDEX('İzin Planı'!$I$6:$I$35,9-5)&lt;=('Özet'!$C$6+7*8)+6,INDEX('İzin Planı'!$J$6:$J$35,9-5)&gt;=('Özet'!$C$6+7*8)),AND(N(INDEX('İzin Planı'!$L$6:$L$35,9-5))&gt;0,INDEX('İzin Planı'!$L$6:$L$35,9-5)&lt;=('Özet'!$C$6+7*8)+6,INDEX('İzin Planı'!$M$6:$M$35,9-5)&gt;=('Özet'!$C$6+7*8))),"İ",""))</f>
      </c>
      <c r="L9" s="13">
        <f>IF(INDEX('İzin Planı'!$C$6:$C$35,9-5)="","",IF(OR(AND(N(INDEX('İzin Planı'!$F$6:$F$35,9-5))&gt;0,INDEX('İzin Planı'!$F$6:$F$35,9-5)&lt;=('Özet'!$C$6+7*9)+6,INDEX('İzin Planı'!$G$6:$G$35,9-5)&gt;=('Özet'!$C$6+7*9)),AND(N(INDEX('İzin Planı'!$I$6:$I$35,9-5))&gt;0,INDEX('İzin Planı'!$I$6:$I$35,9-5)&lt;=('Özet'!$C$6+7*9)+6,INDEX('İzin Planı'!$J$6:$J$35,9-5)&gt;=('Özet'!$C$6+7*9)),AND(N(INDEX('İzin Planı'!$L$6:$L$35,9-5))&gt;0,INDEX('İzin Planı'!$L$6:$L$35,9-5)&lt;=('Özet'!$C$6+7*9)+6,INDEX('İzin Planı'!$M$6:$M$35,9-5)&gt;=('Özet'!$C$6+7*9))),"İ",""))</f>
      </c>
      <c r="M9" s="13">
        <f>IF(INDEX('İzin Planı'!$C$6:$C$35,9-5)="","",IF(OR(AND(N(INDEX('İzin Planı'!$F$6:$F$35,9-5))&gt;0,INDEX('İzin Planı'!$F$6:$F$35,9-5)&lt;=('Özet'!$C$6+7*10)+6,INDEX('İzin Planı'!$G$6:$G$35,9-5)&gt;=('Özet'!$C$6+7*10)),AND(N(INDEX('İzin Planı'!$I$6:$I$35,9-5))&gt;0,INDEX('İzin Planı'!$I$6:$I$35,9-5)&lt;=('Özet'!$C$6+7*10)+6,INDEX('İzin Planı'!$J$6:$J$35,9-5)&gt;=('Özet'!$C$6+7*10)),AND(N(INDEX('İzin Planı'!$L$6:$L$35,9-5))&gt;0,INDEX('İzin Planı'!$L$6:$L$35,9-5)&lt;=('Özet'!$C$6+7*10)+6,INDEX('İzin Planı'!$M$6:$M$35,9-5)&gt;=('Özet'!$C$6+7*10))),"İ",""))</f>
      </c>
      <c r="N9" s="13">
        <f>IF(INDEX('İzin Planı'!$C$6:$C$35,9-5)="","",IF(OR(AND(N(INDEX('İzin Planı'!$F$6:$F$35,9-5))&gt;0,INDEX('İzin Planı'!$F$6:$F$35,9-5)&lt;=('Özet'!$C$6+7*11)+6,INDEX('İzin Planı'!$G$6:$G$35,9-5)&gt;=('Özet'!$C$6+7*11)),AND(N(INDEX('İzin Planı'!$I$6:$I$35,9-5))&gt;0,INDEX('İzin Planı'!$I$6:$I$35,9-5)&lt;=('Özet'!$C$6+7*11)+6,INDEX('İzin Planı'!$J$6:$J$35,9-5)&gt;=('Özet'!$C$6+7*11)),AND(N(INDEX('İzin Planı'!$L$6:$L$35,9-5))&gt;0,INDEX('İzin Planı'!$L$6:$L$35,9-5)&lt;=('Özet'!$C$6+7*11)+6,INDEX('İzin Planı'!$M$6:$M$35,9-5)&gt;=('Özet'!$C$6+7*11))),"İ",""))</f>
      </c>
      <c r="O9" s="13">
        <f>IF(INDEX('İzin Planı'!$C$6:$C$35,9-5)="","",IF(OR(AND(N(INDEX('İzin Planı'!$F$6:$F$35,9-5))&gt;0,INDEX('İzin Planı'!$F$6:$F$35,9-5)&lt;=('Özet'!$C$6+7*12)+6,INDEX('İzin Planı'!$G$6:$G$35,9-5)&gt;=('Özet'!$C$6+7*12)),AND(N(INDEX('İzin Planı'!$I$6:$I$35,9-5))&gt;0,INDEX('İzin Planı'!$I$6:$I$35,9-5)&lt;=('Özet'!$C$6+7*12)+6,INDEX('İzin Planı'!$J$6:$J$35,9-5)&gt;=('Özet'!$C$6+7*12)),AND(N(INDEX('İzin Planı'!$L$6:$L$35,9-5))&gt;0,INDEX('İzin Planı'!$L$6:$L$35,9-5)&lt;=('Özet'!$C$6+7*12)+6,INDEX('İzin Planı'!$M$6:$M$35,9-5)&gt;=('Özet'!$C$6+7*12))),"İ",""))</f>
      </c>
      <c r="P9" s="13">
        <f>IF(INDEX('İzin Planı'!$C$6:$C$35,9-5)="","",IF(OR(AND(N(INDEX('İzin Planı'!$F$6:$F$35,9-5))&gt;0,INDEX('İzin Planı'!$F$6:$F$35,9-5)&lt;=('Özet'!$C$6+7*13)+6,INDEX('İzin Planı'!$G$6:$G$35,9-5)&gt;=('Özet'!$C$6+7*13)),AND(N(INDEX('İzin Planı'!$I$6:$I$35,9-5))&gt;0,INDEX('İzin Planı'!$I$6:$I$35,9-5)&lt;=('Özet'!$C$6+7*13)+6,INDEX('İzin Planı'!$J$6:$J$35,9-5)&gt;=('Özet'!$C$6+7*13)),AND(N(INDEX('İzin Planı'!$L$6:$L$35,9-5))&gt;0,INDEX('İzin Planı'!$L$6:$L$35,9-5)&lt;=('Özet'!$C$6+7*13)+6,INDEX('İzin Planı'!$M$6:$M$35,9-5)&gt;=('Özet'!$C$6+7*13))),"İ",""))</f>
      </c>
      <c r="Q9" s="13">
        <f>IF(INDEX('İzin Planı'!$C$6:$C$35,9-5)="","",IF(OR(AND(N(INDEX('İzin Planı'!$F$6:$F$35,9-5))&gt;0,INDEX('İzin Planı'!$F$6:$F$35,9-5)&lt;=('Özet'!$C$6+7*14)+6,INDEX('İzin Planı'!$G$6:$G$35,9-5)&gt;=('Özet'!$C$6+7*14)),AND(N(INDEX('İzin Planı'!$I$6:$I$35,9-5))&gt;0,INDEX('İzin Planı'!$I$6:$I$35,9-5)&lt;=('Özet'!$C$6+7*14)+6,INDEX('İzin Planı'!$J$6:$J$35,9-5)&gt;=('Özet'!$C$6+7*14)),AND(N(INDEX('İzin Planı'!$L$6:$L$35,9-5))&gt;0,INDEX('İzin Planı'!$L$6:$L$35,9-5)&lt;=('Özet'!$C$6+7*14)+6,INDEX('İzin Planı'!$M$6:$M$35,9-5)&gt;=('Özet'!$C$6+7*14))),"İ",""))</f>
      </c>
      <c r="R9" s="13">
        <f>IF(INDEX('İzin Planı'!$C$6:$C$35,9-5)="","",IF(OR(AND(N(INDEX('İzin Planı'!$F$6:$F$35,9-5))&gt;0,INDEX('İzin Planı'!$F$6:$F$35,9-5)&lt;=('Özet'!$C$6+7*15)+6,INDEX('İzin Planı'!$G$6:$G$35,9-5)&gt;=('Özet'!$C$6+7*15)),AND(N(INDEX('İzin Planı'!$I$6:$I$35,9-5))&gt;0,INDEX('İzin Planı'!$I$6:$I$35,9-5)&lt;=('Özet'!$C$6+7*15)+6,INDEX('İzin Planı'!$J$6:$J$35,9-5)&gt;=('Özet'!$C$6+7*15)),AND(N(INDEX('İzin Planı'!$L$6:$L$35,9-5))&gt;0,INDEX('İzin Planı'!$L$6:$L$35,9-5)&lt;=('Özet'!$C$6+7*15)+6,INDEX('İzin Planı'!$M$6:$M$35,9-5)&gt;=('Özet'!$C$6+7*15))),"İ",""))</f>
      </c>
      <c r="S9" s="13">
        <f>IF(INDEX('İzin Planı'!$C$6:$C$35,9-5)="","",IF(OR(AND(N(INDEX('İzin Planı'!$F$6:$F$35,9-5))&gt;0,INDEX('İzin Planı'!$F$6:$F$35,9-5)&lt;=('Özet'!$C$6+7*16)+6,INDEX('İzin Planı'!$G$6:$G$35,9-5)&gt;=('Özet'!$C$6+7*16)),AND(N(INDEX('İzin Planı'!$I$6:$I$35,9-5))&gt;0,INDEX('İzin Planı'!$I$6:$I$35,9-5)&lt;=('Özet'!$C$6+7*16)+6,INDEX('İzin Planı'!$J$6:$J$35,9-5)&gt;=('Özet'!$C$6+7*16)),AND(N(INDEX('İzin Planı'!$L$6:$L$35,9-5))&gt;0,INDEX('İzin Planı'!$L$6:$L$35,9-5)&lt;=('Özet'!$C$6+7*16)+6,INDEX('İzin Planı'!$M$6:$M$35,9-5)&gt;=('Özet'!$C$6+7*16))),"İ",""))</f>
      </c>
      <c r="T9" s="13">
        <f>IF(INDEX('İzin Planı'!$C$6:$C$35,9-5)="","",IF(OR(AND(N(INDEX('İzin Planı'!$F$6:$F$35,9-5))&gt;0,INDEX('İzin Planı'!$F$6:$F$35,9-5)&lt;=('Özet'!$C$6+7*17)+6,INDEX('İzin Planı'!$G$6:$G$35,9-5)&gt;=('Özet'!$C$6+7*17)),AND(N(INDEX('İzin Planı'!$I$6:$I$35,9-5))&gt;0,INDEX('İzin Planı'!$I$6:$I$35,9-5)&lt;=('Özet'!$C$6+7*17)+6,INDEX('İzin Planı'!$J$6:$J$35,9-5)&gt;=('Özet'!$C$6+7*17)),AND(N(INDEX('İzin Planı'!$L$6:$L$35,9-5))&gt;0,INDEX('İzin Planı'!$L$6:$L$35,9-5)&lt;=('Özet'!$C$6+7*17)+6,INDEX('İzin Planı'!$M$6:$M$35,9-5)&gt;=('Özet'!$C$6+7*17))),"İ",""))</f>
      </c>
      <c r="U9" s="13">
        <f>IF(INDEX('İzin Planı'!$C$6:$C$35,9-5)="","",IF(OR(AND(N(INDEX('İzin Planı'!$F$6:$F$35,9-5))&gt;0,INDEX('İzin Planı'!$F$6:$F$35,9-5)&lt;=('Özet'!$C$6+7*18)+6,INDEX('İzin Planı'!$G$6:$G$35,9-5)&gt;=('Özet'!$C$6+7*18)),AND(N(INDEX('İzin Planı'!$I$6:$I$35,9-5))&gt;0,INDEX('İzin Planı'!$I$6:$I$35,9-5)&lt;=('Özet'!$C$6+7*18)+6,INDEX('İzin Planı'!$J$6:$J$35,9-5)&gt;=('Özet'!$C$6+7*18)),AND(N(INDEX('İzin Planı'!$L$6:$L$35,9-5))&gt;0,INDEX('İzin Planı'!$L$6:$L$35,9-5)&lt;=('Özet'!$C$6+7*18)+6,INDEX('İzin Planı'!$M$6:$M$35,9-5)&gt;=('Özet'!$C$6+7*18))),"İ",""))</f>
      </c>
      <c r="V9" s="13">
        <f>IF(INDEX('İzin Planı'!$C$6:$C$35,9-5)="","",IF(OR(AND(N(INDEX('İzin Planı'!$F$6:$F$35,9-5))&gt;0,INDEX('İzin Planı'!$F$6:$F$35,9-5)&lt;=('Özet'!$C$6+7*19)+6,INDEX('İzin Planı'!$G$6:$G$35,9-5)&gt;=('Özet'!$C$6+7*19)),AND(N(INDEX('İzin Planı'!$I$6:$I$35,9-5))&gt;0,INDEX('İzin Planı'!$I$6:$I$35,9-5)&lt;=('Özet'!$C$6+7*19)+6,INDEX('İzin Planı'!$J$6:$J$35,9-5)&gt;=('Özet'!$C$6+7*19)),AND(N(INDEX('İzin Planı'!$L$6:$L$35,9-5))&gt;0,INDEX('İzin Planı'!$L$6:$L$35,9-5)&lt;=('Özet'!$C$6+7*19)+6,INDEX('İzin Planı'!$M$6:$M$35,9-5)&gt;=('Özet'!$C$6+7*19))),"İ",""))</f>
      </c>
      <c r="W9" s="13">
        <f>IF(INDEX('İzin Planı'!$C$6:$C$35,9-5)="","",IF(OR(AND(N(INDEX('İzin Planı'!$F$6:$F$35,9-5))&gt;0,INDEX('İzin Planı'!$F$6:$F$35,9-5)&lt;=('Özet'!$C$6+7*20)+6,INDEX('İzin Planı'!$G$6:$G$35,9-5)&gt;=('Özet'!$C$6+7*20)),AND(N(INDEX('İzin Planı'!$I$6:$I$35,9-5))&gt;0,INDEX('İzin Planı'!$I$6:$I$35,9-5)&lt;=('Özet'!$C$6+7*20)+6,INDEX('İzin Planı'!$J$6:$J$35,9-5)&gt;=('Özet'!$C$6+7*20)),AND(N(INDEX('İzin Planı'!$L$6:$L$35,9-5))&gt;0,INDEX('İzin Planı'!$L$6:$L$35,9-5)&lt;=('Özet'!$C$6+7*20)+6,INDEX('İzin Planı'!$M$6:$M$35,9-5)&gt;=('Özet'!$C$6+7*20))),"İ",""))</f>
      </c>
      <c r="X9" s="13">
        <f>IF(INDEX('İzin Planı'!$C$6:$C$35,9-5)="","",IF(OR(AND(N(INDEX('İzin Planı'!$F$6:$F$35,9-5))&gt;0,INDEX('İzin Planı'!$F$6:$F$35,9-5)&lt;=('Özet'!$C$6+7*21)+6,INDEX('İzin Planı'!$G$6:$G$35,9-5)&gt;=('Özet'!$C$6+7*21)),AND(N(INDEX('İzin Planı'!$I$6:$I$35,9-5))&gt;0,INDEX('İzin Planı'!$I$6:$I$35,9-5)&lt;=('Özet'!$C$6+7*21)+6,INDEX('İzin Planı'!$J$6:$J$35,9-5)&gt;=('Özet'!$C$6+7*21)),AND(N(INDEX('İzin Planı'!$L$6:$L$35,9-5))&gt;0,INDEX('İzin Planı'!$L$6:$L$35,9-5)&lt;=('Özet'!$C$6+7*21)+6,INDEX('İzin Planı'!$M$6:$M$35,9-5)&gt;=('Özet'!$C$6+7*21))),"İ",""))</f>
      </c>
      <c r="Y9" s="13">
        <f>IF(INDEX('İzin Planı'!$C$6:$C$35,9-5)="","",IF(OR(AND(N(INDEX('İzin Planı'!$F$6:$F$35,9-5))&gt;0,INDEX('İzin Planı'!$F$6:$F$35,9-5)&lt;=('Özet'!$C$6+7*22)+6,INDEX('İzin Planı'!$G$6:$G$35,9-5)&gt;=('Özet'!$C$6+7*22)),AND(N(INDEX('İzin Planı'!$I$6:$I$35,9-5))&gt;0,INDEX('İzin Planı'!$I$6:$I$35,9-5)&lt;=('Özet'!$C$6+7*22)+6,INDEX('İzin Planı'!$J$6:$J$35,9-5)&gt;=('Özet'!$C$6+7*22)),AND(N(INDEX('İzin Planı'!$L$6:$L$35,9-5))&gt;0,INDEX('İzin Planı'!$L$6:$L$35,9-5)&lt;=('Özet'!$C$6+7*22)+6,INDEX('İzin Planı'!$M$6:$M$35,9-5)&gt;=('Özet'!$C$6+7*22))),"İ",""))</f>
      </c>
      <c r="Z9" s="13">
        <f>IF(INDEX('İzin Planı'!$C$6:$C$35,9-5)="","",IF(OR(AND(N(INDEX('İzin Planı'!$F$6:$F$35,9-5))&gt;0,INDEX('İzin Planı'!$F$6:$F$35,9-5)&lt;=('Özet'!$C$6+7*23)+6,INDEX('İzin Planı'!$G$6:$G$35,9-5)&gt;=('Özet'!$C$6+7*23)),AND(N(INDEX('İzin Planı'!$I$6:$I$35,9-5))&gt;0,INDEX('İzin Planı'!$I$6:$I$35,9-5)&lt;=('Özet'!$C$6+7*23)+6,INDEX('İzin Planı'!$J$6:$J$35,9-5)&gt;=('Özet'!$C$6+7*23)),AND(N(INDEX('İzin Planı'!$L$6:$L$35,9-5))&gt;0,INDEX('İzin Planı'!$L$6:$L$35,9-5)&lt;=('Özet'!$C$6+7*23)+6,INDEX('İzin Planı'!$M$6:$M$35,9-5)&gt;=('Özet'!$C$6+7*23))),"İ",""))</f>
      </c>
      <c r="AA9" s="13">
        <f>IF(INDEX('İzin Planı'!$C$6:$C$35,9-5)="","",IF(OR(AND(N(INDEX('İzin Planı'!$F$6:$F$35,9-5))&gt;0,INDEX('İzin Planı'!$F$6:$F$35,9-5)&lt;=('Özet'!$C$6+7*24)+6,INDEX('İzin Planı'!$G$6:$G$35,9-5)&gt;=('Özet'!$C$6+7*24)),AND(N(INDEX('İzin Planı'!$I$6:$I$35,9-5))&gt;0,INDEX('İzin Planı'!$I$6:$I$35,9-5)&lt;=('Özet'!$C$6+7*24)+6,INDEX('İzin Planı'!$J$6:$J$35,9-5)&gt;=('Özet'!$C$6+7*24)),AND(N(INDEX('İzin Planı'!$L$6:$L$35,9-5))&gt;0,INDEX('İzin Planı'!$L$6:$L$35,9-5)&lt;=('Özet'!$C$6+7*24)+6,INDEX('İzin Planı'!$M$6:$M$35,9-5)&gt;=('Özet'!$C$6+7*24))),"İ",""))</f>
      </c>
      <c r="AB9" s="13">
        <f>IF(INDEX('İzin Planı'!$C$6:$C$35,9-5)="","",IF(OR(AND(N(INDEX('İzin Planı'!$F$6:$F$35,9-5))&gt;0,INDEX('İzin Planı'!$F$6:$F$35,9-5)&lt;=('Özet'!$C$6+7*25)+6,INDEX('İzin Planı'!$G$6:$G$35,9-5)&gt;=('Özet'!$C$6+7*25)),AND(N(INDEX('İzin Planı'!$I$6:$I$35,9-5))&gt;0,INDEX('İzin Planı'!$I$6:$I$35,9-5)&lt;=('Özet'!$C$6+7*25)+6,INDEX('İzin Planı'!$J$6:$J$35,9-5)&gt;=('Özet'!$C$6+7*25)),AND(N(INDEX('İzin Planı'!$L$6:$L$35,9-5))&gt;0,INDEX('İzin Planı'!$L$6:$L$35,9-5)&lt;=('Özet'!$C$6+7*25)+6,INDEX('İzin Planı'!$M$6:$M$35,9-5)&gt;=('Özet'!$C$6+7*25))),"İ",""))</f>
      </c>
      <c r="AC9" s="13">
        <f>IF(INDEX('İzin Planı'!$C$6:$C$35,9-5)="","",IF(OR(AND(N(INDEX('İzin Planı'!$F$6:$F$35,9-5))&gt;0,INDEX('İzin Planı'!$F$6:$F$35,9-5)&lt;=('Özet'!$C$6+7*26)+6,INDEX('İzin Planı'!$G$6:$G$35,9-5)&gt;=('Özet'!$C$6+7*26)),AND(N(INDEX('İzin Planı'!$I$6:$I$35,9-5))&gt;0,INDEX('İzin Planı'!$I$6:$I$35,9-5)&lt;=('Özet'!$C$6+7*26)+6,INDEX('İzin Planı'!$J$6:$J$35,9-5)&gt;=('Özet'!$C$6+7*26)),AND(N(INDEX('İzin Planı'!$L$6:$L$35,9-5))&gt;0,INDEX('İzin Planı'!$L$6:$L$35,9-5)&lt;=('Özet'!$C$6+7*26)+6,INDEX('İzin Planı'!$M$6:$M$35,9-5)&gt;=('Özet'!$C$6+7*26))),"İ",""))</f>
      </c>
      <c r="AD9" s="13">
        <f>IF(INDEX('İzin Planı'!$C$6:$C$35,9-5)="","",IF(OR(AND(N(INDEX('İzin Planı'!$F$6:$F$35,9-5))&gt;0,INDEX('İzin Planı'!$F$6:$F$35,9-5)&lt;=('Özet'!$C$6+7*27)+6,INDEX('İzin Planı'!$G$6:$G$35,9-5)&gt;=('Özet'!$C$6+7*27)),AND(N(INDEX('İzin Planı'!$I$6:$I$35,9-5))&gt;0,INDEX('İzin Planı'!$I$6:$I$35,9-5)&lt;=('Özet'!$C$6+7*27)+6,INDEX('İzin Planı'!$J$6:$J$35,9-5)&gt;=('Özet'!$C$6+7*27)),AND(N(INDEX('İzin Planı'!$L$6:$L$35,9-5))&gt;0,INDEX('İzin Planı'!$L$6:$L$35,9-5)&lt;=('Özet'!$C$6+7*27)+6,INDEX('İzin Planı'!$M$6:$M$35,9-5)&gt;=('Özet'!$C$6+7*27))),"İ",""))</f>
      </c>
      <c r="AE9" s="13">
        <f>IF(INDEX('İzin Planı'!$C$6:$C$35,9-5)="","",IF(OR(AND(N(INDEX('İzin Planı'!$F$6:$F$35,9-5))&gt;0,INDEX('İzin Planı'!$F$6:$F$35,9-5)&lt;=('Özet'!$C$6+7*28)+6,INDEX('İzin Planı'!$G$6:$G$35,9-5)&gt;=('Özet'!$C$6+7*28)),AND(N(INDEX('İzin Planı'!$I$6:$I$35,9-5))&gt;0,INDEX('İzin Planı'!$I$6:$I$35,9-5)&lt;=('Özet'!$C$6+7*28)+6,INDEX('İzin Planı'!$J$6:$J$35,9-5)&gt;=('Özet'!$C$6+7*28)),AND(N(INDEX('İzin Planı'!$L$6:$L$35,9-5))&gt;0,INDEX('İzin Planı'!$L$6:$L$35,9-5)&lt;=('Özet'!$C$6+7*28)+6,INDEX('İzin Planı'!$M$6:$M$35,9-5)&gt;=('Özet'!$C$6+7*28))),"İ",""))</f>
      </c>
      <c r="AF9" s="13">
        <f>IF(INDEX('İzin Planı'!$C$6:$C$35,9-5)="","",IF(OR(AND(N(INDEX('İzin Planı'!$F$6:$F$35,9-5))&gt;0,INDEX('İzin Planı'!$F$6:$F$35,9-5)&lt;=('Özet'!$C$6+7*29)+6,INDEX('İzin Planı'!$G$6:$G$35,9-5)&gt;=('Özet'!$C$6+7*29)),AND(N(INDEX('İzin Planı'!$I$6:$I$35,9-5))&gt;0,INDEX('İzin Planı'!$I$6:$I$35,9-5)&lt;=('Özet'!$C$6+7*29)+6,INDEX('İzin Planı'!$J$6:$J$35,9-5)&gt;=('Özet'!$C$6+7*29)),AND(N(INDEX('İzin Planı'!$L$6:$L$35,9-5))&gt;0,INDEX('İzin Planı'!$L$6:$L$35,9-5)&lt;=('Özet'!$C$6+7*29)+6,INDEX('İzin Planı'!$M$6:$M$35,9-5)&gt;=('Özet'!$C$6+7*29))),"İ",""))</f>
      </c>
      <c r="AG9" s="13">
        <f>IF(INDEX('İzin Planı'!$C$6:$C$35,9-5)="","",IF(OR(AND(N(INDEX('İzin Planı'!$F$6:$F$35,9-5))&gt;0,INDEX('İzin Planı'!$F$6:$F$35,9-5)&lt;=('Özet'!$C$6+7*30)+6,INDEX('İzin Planı'!$G$6:$G$35,9-5)&gt;=('Özet'!$C$6+7*30)),AND(N(INDEX('İzin Planı'!$I$6:$I$35,9-5))&gt;0,INDEX('İzin Planı'!$I$6:$I$35,9-5)&lt;=('Özet'!$C$6+7*30)+6,INDEX('İzin Planı'!$J$6:$J$35,9-5)&gt;=('Özet'!$C$6+7*30)),AND(N(INDEX('İzin Planı'!$L$6:$L$35,9-5))&gt;0,INDEX('İzin Planı'!$L$6:$L$35,9-5)&lt;=('Özet'!$C$6+7*30)+6,INDEX('İzin Planı'!$M$6:$M$35,9-5)&gt;=('Özet'!$C$6+7*30))),"İ",""))</f>
      </c>
      <c r="AH9" s="13">
        <f>IF(INDEX('İzin Planı'!$C$6:$C$35,9-5)="","",IF(OR(AND(N(INDEX('İzin Planı'!$F$6:$F$35,9-5))&gt;0,INDEX('İzin Planı'!$F$6:$F$35,9-5)&lt;=('Özet'!$C$6+7*31)+6,INDEX('İzin Planı'!$G$6:$G$35,9-5)&gt;=('Özet'!$C$6+7*31)),AND(N(INDEX('İzin Planı'!$I$6:$I$35,9-5))&gt;0,INDEX('İzin Planı'!$I$6:$I$35,9-5)&lt;=('Özet'!$C$6+7*31)+6,INDEX('İzin Planı'!$J$6:$J$35,9-5)&gt;=('Özet'!$C$6+7*31)),AND(N(INDEX('İzin Planı'!$L$6:$L$35,9-5))&gt;0,INDEX('İzin Planı'!$L$6:$L$35,9-5)&lt;=('Özet'!$C$6+7*31)+6,INDEX('İzin Planı'!$M$6:$M$35,9-5)&gt;=('Özet'!$C$6+7*31))),"İ",""))</f>
      </c>
      <c r="AI9" s="13">
        <f>IF(INDEX('İzin Planı'!$C$6:$C$35,9-5)="","",IF(OR(AND(N(INDEX('İzin Planı'!$F$6:$F$35,9-5))&gt;0,INDEX('İzin Planı'!$F$6:$F$35,9-5)&lt;=('Özet'!$C$6+7*32)+6,INDEX('İzin Planı'!$G$6:$G$35,9-5)&gt;=('Özet'!$C$6+7*32)),AND(N(INDEX('İzin Planı'!$I$6:$I$35,9-5))&gt;0,INDEX('İzin Planı'!$I$6:$I$35,9-5)&lt;=('Özet'!$C$6+7*32)+6,INDEX('İzin Planı'!$J$6:$J$35,9-5)&gt;=('Özet'!$C$6+7*32)),AND(N(INDEX('İzin Planı'!$L$6:$L$35,9-5))&gt;0,INDEX('İzin Planı'!$L$6:$L$35,9-5)&lt;=('Özet'!$C$6+7*32)+6,INDEX('İzin Planı'!$M$6:$M$35,9-5)&gt;=('Özet'!$C$6+7*32))),"İ",""))</f>
      </c>
      <c r="AJ9" s="13">
        <f>IF(INDEX('İzin Planı'!$C$6:$C$35,9-5)="","",IF(OR(AND(N(INDEX('İzin Planı'!$F$6:$F$35,9-5))&gt;0,INDEX('İzin Planı'!$F$6:$F$35,9-5)&lt;=('Özet'!$C$6+7*33)+6,INDEX('İzin Planı'!$G$6:$G$35,9-5)&gt;=('Özet'!$C$6+7*33)),AND(N(INDEX('İzin Planı'!$I$6:$I$35,9-5))&gt;0,INDEX('İzin Planı'!$I$6:$I$35,9-5)&lt;=('Özet'!$C$6+7*33)+6,INDEX('İzin Planı'!$J$6:$J$35,9-5)&gt;=('Özet'!$C$6+7*33)),AND(N(INDEX('İzin Planı'!$L$6:$L$35,9-5))&gt;0,INDEX('İzin Planı'!$L$6:$L$35,9-5)&lt;=('Özet'!$C$6+7*33)+6,INDEX('İzin Planı'!$M$6:$M$35,9-5)&gt;=('Özet'!$C$6+7*33))),"İ",""))</f>
      </c>
      <c r="AK9" s="13">
        <f>IF(INDEX('İzin Planı'!$C$6:$C$35,9-5)="","",IF(OR(AND(N(INDEX('İzin Planı'!$F$6:$F$35,9-5))&gt;0,INDEX('İzin Planı'!$F$6:$F$35,9-5)&lt;=('Özet'!$C$6+7*34)+6,INDEX('İzin Planı'!$G$6:$G$35,9-5)&gt;=('Özet'!$C$6+7*34)),AND(N(INDEX('İzin Planı'!$I$6:$I$35,9-5))&gt;0,INDEX('İzin Planı'!$I$6:$I$35,9-5)&lt;=('Özet'!$C$6+7*34)+6,INDEX('İzin Planı'!$J$6:$J$35,9-5)&gt;=('Özet'!$C$6+7*34)),AND(N(INDEX('İzin Planı'!$L$6:$L$35,9-5))&gt;0,INDEX('İzin Planı'!$L$6:$L$35,9-5)&lt;=('Özet'!$C$6+7*34)+6,INDEX('İzin Planı'!$M$6:$M$35,9-5)&gt;=('Özet'!$C$6+7*34))),"İ",""))</f>
      </c>
      <c r="AL9" s="13">
        <f>IF(INDEX('İzin Planı'!$C$6:$C$35,9-5)="","",IF(OR(AND(N(INDEX('İzin Planı'!$F$6:$F$35,9-5))&gt;0,INDEX('İzin Planı'!$F$6:$F$35,9-5)&lt;=('Özet'!$C$6+7*35)+6,INDEX('İzin Planı'!$G$6:$G$35,9-5)&gt;=('Özet'!$C$6+7*35)),AND(N(INDEX('İzin Planı'!$I$6:$I$35,9-5))&gt;0,INDEX('İzin Planı'!$I$6:$I$35,9-5)&lt;=('Özet'!$C$6+7*35)+6,INDEX('İzin Planı'!$J$6:$J$35,9-5)&gt;=('Özet'!$C$6+7*35)),AND(N(INDEX('İzin Planı'!$L$6:$L$35,9-5))&gt;0,INDEX('İzin Planı'!$L$6:$L$35,9-5)&lt;=('Özet'!$C$6+7*35)+6,INDEX('İzin Planı'!$M$6:$M$35,9-5)&gt;=('Özet'!$C$6+7*35))),"İ",""))</f>
      </c>
      <c r="AM9" s="13">
        <f>IF(INDEX('İzin Planı'!$C$6:$C$35,9-5)="","",IF(OR(AND(N(INDEX('İzin Planı'!$F$6:$F$35,9-5))&gt;0,INDEX('İzin Planı'!$F$6:$F$35,9-5)&lt;=('Özet'!$C$6+7*36)+6,INDEX('İzin Planı'!$G$6:$G$35,9-5)&gt;=('Özet'!$C$6+7*36)),AND(N(INDEX('İzin Planı'!$I$6:$I$35,9-5))&gt;0,INDEX('İzin Planı'!$I$6:$I$35,9-5)&lt;=('Özet'!$C$6+7*36)+6,INDEX('İzin Planı'!$J$6:$J$35,9-5)&gt;=('Özet'!$C$6+7*36)),AND(N(INDEX('İzin Planı'!$L$6:$L$35,9-5))&gt;0,INDEX('İzin Planı'!$L$6:$L$35,9-5)&lt;=('Özet'!$C$6+7*36)+6,INDEX('İzin Planı'!$M$6:$M$35,9-5)&gt;=('Özet'!$C$6+7*36))),"İ",""))</f>
      </c>
      <c r="AN9" s="13">
        <f>IF(INDEX('İzin Planı'!$C$6:$C$35,9-5)="","",IF(OR(AND(N(INDEX('İzin Planı'!$F$6:$F$35,9-5))&gt;0,INDEX('İzin Planı'!$F$6:$F$35,9-5)&lt;=('Özet'!$C$6+7*37)+6,INDEX('İzin Planı'!$G$6:$G$35,9-5)&gt;=('Özet'!$C$6+7*37)),AND(N(INDEX('İzin Planı'!$I$6:$I$35,9-5))&gt;0,INDEX('İzin Planı'!$I$6:$I$35,9-5)&lt;=('Özet'!$C$6+7*37)+6,INDEX('İzin Planı'!$J$6:$J$35,9-5)&gt;=('Özet'!$C$6+7*37)),AND(N(INDEX('İzin Planı'!$L$6:$L$35,9-5))&gt;0,INDEX('İzin Planı'!$L$6:$L$35,9-5)&lt;=('Özet'!$C$6+7*37)+6,INDEX('İzin Planı'!$M$6:$M$35,9-5)&gt;=('Özet'!$C$6+7*37))),"İ",""))</f>
      </c>
      <c r="AO9" s="13">
        <f>IF(INDEX('İzin Planı'!$C$6:$C$35,9-5)="","",IF(OR(AND(N(INDEX('İzin Planı'!$F$6:$F$35,9-5))&gt;0,INDEX('İzin Planı'!$F$6:$F$35,9-5)&lt;=('Özet'!$C$6+7*38)+6,INDEX('İzin Planı'!$G$6:$G$35,9-5)&gt;=('Özet'!$C$6+7*38)),AND(N(INDEX('İzin Planı'!$I$6:$I$35,9-5))&gt;0,INDEX('İzin Planı'!$I$6:$I$35,9-5)&lt;=('Özet'!$C$6+7*38)+6,INDEX('İzin Planı'!$J$6:$J$35,9-5)&gt;=('Özet'!$C$6+7*38)),AND(N(INDEX('İzin Planı'!$L$6:$L$35,9-5))&gt;0,INDEX('İzin Planı'!$L$6:$L$35,9-5)&lt;=('Özet'!$C$6+7*38)+6,INDEX('İzin Planı'!$M$6:$M$35,9-5)&gt;=('Özet'!$C$6+7*38))),"İ",""))</f>
      </c>
      <c r="AP9" s="13">
        <f>IF(INDEX('İzin Planı'!$C$6:$C$35,9-5)="","",IF(OR(AND(N(INDEX('İzin Planı'!$F$6:$F$35,9-5))&gt;0,INDEX('İzin Planı'!$F$6:$F$35,9-5)&lt;=('Özet'!$C$6+7*39)+6,INDEX('İzin Planı'!$G$6:$G$35,9-5)&gt;=('Özet'!$C$6+7*39)),AND(N(INDEX('İzin Planı'!$I$6:$I$35,9-5))&gt;0,INDEX('İzin Planı'!$I$6:$I$35,9-5)&lt;=('Özet'!$C$6+7*39)+6,INDEX('İzin Planı'!$J$6:$J$35,9-5)&gt;=('Özet'!$C$6+7*39)),AND(N(INDEX('İzin Planı'!$L$6:$L$35,9-5))&gt;0,INDEX('İzin Planı'!$L$6:$L$35,9-5)&lt;=('Özet'!$C$6+7*39)+6,INDEX('İzin Planı'!$M$6:$M$35,9-5)&gt;=('Özet'!$C$6+7*39))),"İ",""))</f>
      </c>
      <c r="AQ9" s="13">
        <f>IF(INDEX('İzin Planı'!$C$6:$C$35,9-5)="","",IF(OR(AND(N(INDEX('İzin Planı'!$F$6:$F$35,9-5))&gt;0,INDEX('İzin Planı'!$F$6:$F$35,9-5)&lt;=('Özet'!$C$6+7*40)+6,INDEX('İzin Planı'!$G$6:$G$35,9-5)&gt;=('Özet'!$C$6+7*40)),AND(N(INDEX('İzin Planı'!$I$6:$I$35,9-5))&gt;0,INDEX('İzin Planı'!$I$6:$I$35,9-5)&lt;=('Özet'!$C$6+7*40)+6,INDEX('İzin Planı'!$J$6:$J$35,9-5)&gt;=('Özet'!$C$6+7*40)),AND(N(INDEX('İzin Planı'!$L$6:$L$35,9-5))&gt;0,INDEX('İzin Planı'!$L$6:$L$35,9-5)&lt;=('Özet'!$C$6+7*40)+6,INDEX('İzin Planı'!$M$6:$M$35,9-5)&gt;=('Özet'!$C$6+7*40))),"İ",""))</f>
      </c>
      <c r="AR9" s="13">
        <f>IF(INDEX('İzin Planı'!$C$6:$C$35,9-5)="","",IF(OR(AND(N(INDEX('İzin Planı'!$F$6:$F$35,9-5))&gt;0,INDEX('İzin Planı'!$F$6:$F$35,9-5)&lt;=('Özet'!$C$6+7*41)+6,INDEX('İzin Planı'!$G$6:$G$35,9-5)&gt;=('Özet'!$C$6+7*41)),AND(N(INDEX('İzin Planı'!$I$6:$I$35,9-5))&gt;0,INDEX('İzin Planı'!$I$6:$I$35,9-5)&lt;=('Özet'!$C$6+7*41)+6,INDEX('İzin Planı'!$J$6:$J$35,9-5)&gt;=('Özet'!$C$6+7*41)),AND(N(INDEX('İzin Planı'!$L$6:$L$35,9-5))&gt;0,INDEX('İzin Planı'!$L$6:$L$35,9-5)&lt;=('Özet'!$C$6+7*41)+6,INDEX('İzin Planı'!$M$6:$M$35,9-5)&gt;=('Özet'!$C$6+7*41))),"İ",""))</f>
      </c>
      <c r="AS9" s="13">
        <f>IF(INDEX('İzin Planı'!$C$6:$C$35,9-5)="","",IF(OR(AND(N(INDEX('İzin Planı'!$F$6:$F$35,9-5))&gt;0,INDEX('İzin Planı'!$F$6:$F$35,9-5)&lt;=('Özet'!$C$6+7*42)+6,INDEX('İzin Planı'!$G$6:$G$35,9-5)&gt;=('Özet'!$C$6+7*42)),AND(N(INDEX('İzin Planı'!$I$6:$I$35,9-5))&gt;0,INDEX('İzin Planı'!$I$6:$I$35,9-5)&lt;=('Özet'!$C$6+7*42)+6,INDEX('İzin Planı'!$J$6:$J$35,9-5)&gt;=('Özet'!$C$6+7*42)),AND(N(INDEX('İzin Planı'!$L$6:$L$35,9-5))&gt;0,INDEX('İzin Planı'!$L$6:$L$35,9-5)&lt;=('Özet'!$C$6+7*42)+6,INDEX('İzin Planı'!$M$6:$M$35,9-5)&gt;=('Özet'!$C$6+7*42))),"İ",""))</f>
      </c>
      <c r="AT9" s="13">
        <f>IF(INDEX('İzin Planı'!$C$6:$C$35,9-5)="","",IF(OR(AND(N(INDEX('İzin Planı'!$F$6:$F$35,9-5))&gt;0,INDEX('İzin Planı'!$F$6:$F$35,9-5)&lt;=('Özet'!$C$6+7*43)+6,INDEX('İzin Planı'!$G$6:$G$35,9-5)&gt;=('Özet'!$C$6+7*43)),AND(N(INDEX('İzin Planı'!$I$6:$I$35,9-5))&gt;0,INDEX('İzin Planı'!$I$6:$I$35,9-5)&lt;=('Özet'!$C$6+7*43)+6,INDEX('İzin Planı'!$J$6:$J$35,9-5)&gt;=('Özet'!$C$6+7*43)),AND(N(INDEX('İzin Planı'!$L$6:$L$35,9-5))&gt;0,INDEX('İzin Planı'!$L$6:$L$35,9-5)&lt;=('Özet'!$C$6+7*43)+6,INDEX('İzin Planı'!$M$6:$M$35,9-5)&gt;=('Özet'!$C$6+7*43))),"İ",""))</f>
      </c>
      <c r="AU9" s="13">
        <f>IF(INDEX('İzin Planı'!$C$6:$C$35,9-5)="","",IF(OR(AND(N(INDEX('İzin Planı'!$F$6:$F$35,9-5))&gt;0,INDEX('İzin Planı'!$F$6:$F$35,9-5)&lt;=('Özet'!$C$6+7*44)+6,INDEX('İzin Planı'!$G$6:$G$35,9-5)&gt;=('Özet'!$C$6+7*44)),AND(N(INDEX('İzin Planı'!$I$6:$I$35,9-5))&gt;0,INDEX('İzin Planı'!$I$6:$I$35,9-5)&lt;=('Özet'!$C$6+7*44)+6,INDEX('İzin Planı'!$J$6:$J$35,9-5)&gt;=('Özet'!$C$6+7*44)),AND(N(INDEX('İzin Planı'!$L$6:$L$35,9-5))&gt;0,INDEX('İzin Planı'!$L$6:$L$35,9-5)&lt;=('Özet'!$C$6+7*44)+6,INDEX('İzin Planı'!$M$6:$M$35,9-5)&gt;=('Özet'!$C$6+7*44))),"İ",""))</f>
      </c>
      <c r="AV9" s="13">
        <f>IF(INDEX('İzin Planı'!$C$6:$C$35,9-5)="","",IF(OR(AND(N(INDEX('İzin Planı'!$F$6:$F$35,9-5))&gt;0,INDEX('İzin Planı'!$F$6:$F$35,9-5)&lt;=('Özet'!$C$6+7*45)+6,INDEX('İzin Planı'!$G$6:$G$35,9-5)&gt;=('Özet'!$C$6+7*45)),AND(N(INDEX('İzin Planı'!$I$6:$I$35,9-5))&gt;0,INDEX('İzin Planı'!$I$6:$I$35,9-5)&lt;=('Özet'!$C$6+7*45)+6,INDEX('İzin Planı'!$J$6:$J$35,9-5)&gt;=('Özet'!$C$6+7*45)),AND(N(INDEX('İzin Planı'!$L$6:$L$35,9-5))&gt;0,INDEX('İzin Planı'!$L$6:$L$35,9-5)&lt;=('Özet'!$C$6+7*45)+6,INDEX('İzin Planı'!$M$6:$M$35,9-5)&gt;=('Özet'!$C$6+7*45))),"İ",""))</f>
      </c>
      <c r="AW9" s="13">
        <f>IF(INDEX('İzin Planı'!$C$6:$C$35,9-5)="","",IF(OR(AND(N(INDEX('İzin Planı'!$F$6:$F$35,9-5))&gt;0,INDEX('İzin Planı'!$F$6:$F$35,9-5)&lt;=('Özet'!$C$6+7*46)+6,INDEX('İzin Planı'!$G$6:$G$35,9-5)&gt;=('Özet'!$C$6+7*46)),AND(N(INDEX('İzin Planı'!$I$6:$I$35,9-5))&gt;0,INDEX('İzin Planı'!$I$6:$I$35,9-5)&lt;=('Özet'!$C$6+7*46)+6,INDEX('İzin Planı'!$J$6:$J$35,9-5)&gt;=('Özet'!$C$6+7*46)),AND(N(INDEX('İzin Planı'!$L$6:$L$35,9-5))&gt;0,INDEX('İzin Planı'!$L$6:$L$35,9-5)&lt;=('Özet'!$C$6+7*46)+6,INDEX('İzin Planı'!$M$6:$M$35,9-5)&gt;=('Özet'!$C$6+7*46))),"İ",""))</f>
      </c>
      <c r="AX9" s="13">
        <f>IF(INDEX('İzin Planı'!$C$6:$C$35,9-5)="","",IF(OR(AND(N(INDEX('İzin Planı'!$F$6:$F$35,9-5))&gt;0,INDEX('İzin Planı'!$F$6:$F$35,9-5)&lt;=('Özet'!$C$6+7*47)+6,INDEX('İzin Planı'!$G$6:$G$35,9-5)&gt;=('Özet'!$C$6+7*47)),AND(N(INDEX('İzin Planı'!$I$6:$I$35,9-5))&gt;0,INDEX('İzin Planı'!$I$6:$I$35,9-5)&lt;=('Özet'!$C$6+7*47)+6,INDEX('İzin Planı'!$J$6:$J$35,9-5)&gt;=('Özet'!$C$6+7*47)),AND(N(INDEX('İzin Planı'!$L$6:$L$35,9-5))&gt;0,INDEX('İzin Planı'!$L$6:$L$35,9-5)&lt;=('Özet'!$C$6+7*47)+6,INDEX('İzin Planı'!$M$6:$M$35,9-5)&gt;=('Özet'!$C$6+7*47))),"İ",""))</f>
      </c>
      <c r="AY9" s="13">
        <f>IF(INDEX('İzin Planı'!$C$6:$C$35,9-5)="","",IF(OR(AND(N(INDEX('İzin Planı'!$F$6:$F$35,9-5))&gt;0,INDEX('İzin Planı'!$F$6:$F$35,9-5)&lt;=('Özet'!$C$6+7*48)+6,INDEX('İzin Planı'!$G$6:$G$35,9-5)&gt;=('Özet'!$C$6+7*48)),AND(N(INDEX('İzin Planı'!$I$6:$I$35,9-5))&gt;0,INDEX('İzin Planı'!$I$6:$I$35,9-5)&lt;=('Özet'!$C$6+7*48)+6,INDEX('İzin Planı'!$J$6:$J$35,9-5)&gt;=('Özet'!$C$6+7*48)),AND(N(INDEX('İzin Planı'!$L$6:$L$35,9-5))&gt;0,INDEX('İzin Planı'!$L$6:$L$35,9-5)&lt;=('Özet'!$C$6+7*48)+6,INDEX('İzin Planı'!$M$6:$M$35,9-5)&gt;=('Özet'!$C$6+7*48))),"İ",""))</f>
      </c>
      <c r="AZ9" s="13">
        <f>IF(INDEX('İzin Planı'!$C$6:$C$35,9-5)="","",IF(OR(AND(N(INDEX('İzin Planı'!$F$6:$F$35,9-5))&gt;0,INDEX('İzin Planı'!$F$6:$F$35,9-5)&lt;=('Özet'!$C$6+7*49)+6,INDEX('İzin Planı'!$G$6:$G$35,9-5)&gt;=('Özet'!$C$6+7*49)),AND(N(INDEX('İzin Planı'!$I$6:$I$35,9-5))&gt;0,INDEX('İzin Planı'!$I$6:$I$35,9-5)&lt;=('Özet'!$C$6+7*49)+6,INDEX('İzin Planı'!$J$6:$J$35,9-5)&gt;=('Özet'!$C$6+7*49)),AND(N(INDEX('İzin Planı'!$L$6:$L$35,9-5))&gt;0,INDEX('İzin Planı'!$L$6:$L$35,9-5)&lt;=('Özet'!$C$6+7*49)+6,INDEX('İzin Planı'!$M$6:$M$35,9-5)&gt;=('Özet'!$C$6+7*49))),"İ",""))</f>
      </c>
      <c r="BA9" s="13">
        <f>IF(INDEX('İzin Planı'!$C$6:$C$35,9-5)="","",IF(OR(AND(N(INDEX('İzin Planı'!$F$6:$F$35,9-5))&gt;0,INDEX('İzin Planı'!$F$6:$F$35,9-5)&lt;=('Özet'!$C$6+7*50)+6,INDEX('İzin Planı'!$G$6:$G$35,9-5)&gt;=('Özet'!$C$6+7*50)),AND(N(INDEX('İzin Planı'!$I$6:$I$35,9-5))&gt;0,INDEX('İzin Planı'!$I$6:$I$35,9-5)&lt;=('Özet'!$C$6+7*50)+6,INDEX('İzin Planı'!$J$6:$J$35,9-5)&gt;=('Özet'!$C$6+7*50)),AND(N(INDEX('İzin Planı'!$L$6:$L$35,9-5))&gt;0,INDEX('İzin Planı'!$L$6:$L$35,9-5)&lt;=('Özet'!$C$6+7*50)+6,INDEX('İzin Planı'!$M$6:$M$35,9-5)&gt;=('Özet'!$C$6+7*50))),"İ",""))</f>
      </c>
      <c r="BB9" s="13">
        <f>IF(INDEX('İzin Planı'!$C$6:$C$35,9-5)="","",IF(OR(AND(N(INDEX('İzin Planı'!$F$6:$F$35,9-5))&gt;0,INDEX('İzin Planı'!$F$6:$F$35,9-5)&lt;=('Özet'!$C$6+7*51)+6,INDEX('İzin Planı'!$G$6:$G$35,9-5)&gt;=('Özet'!$C$6+7*51)),AND(N(INDEX('İzin Planı'!$I$6:$I$35,9-5))&gt;0,INDEX('İzin Planı'!$I$6:$I$35,9-5)&lt;=('Özet'!$C$6+7*51)+6,INDEX('İzin Planı'!$J$6:$J$35,9-5)&gt;=('Özet'!$C$6+7*51)),AND(N(INDEX('İzin Planı'!$L$6:$L$35,9-5))&gt;0,INDEX('İzin Planı'!$L$6:$L$35,9-5)&lt;=('Özet'!$C$6+7*51)+6,INDEX('İzin Planı'!$M$6:$M$35,9-5)&gt;=('Özet'!$C$6+7*51))),"İ",""))</f>
      </c>
      <c r="BC9" s="13">
        <f>IF(INDEX('İzin Planı'!$C$6:$C$35,9-5)="","",IF(OR(AND(N(INDEX('İzin Planı'!$F$6:$F$35,9-5))&gt;0,INDEX('İzin Planı'!$F$6:$F$35,9-5)&lt;=('Özet'!$C$6+7*52)+6,INDEX('İzin Planı'!$G$6:$G$35,9-5)&gt;=('Özet'!$C$6+7*52)),AND(N(INDEX('İzin Planı'!$I$6:$I$35,9-5))&gt;0,INDEX('İzin Planı'!$I$6:$I$35,9-5)&lt;=('Özet'!$C$6+7*52)+6,INDEX('İzin Planı'!$J$6:$J$35,9-5)&gt;=('Özet'!$C$6+7*52)),AND(N(INDEX('İzin Planı'!$L$6:$L$35,9-5))&gt;0,INDEX('İzin Planı'!$L$6:$L$35,9-5)&lt;=('Özet'!$C$6+7*52)+6,INDEX('İzin Planı'!$M$6:$M$35,9-5)&gt;=('Özet'!$C$6+7*52))),"İ",""))</f>
      </c>
    </row>
    <row r="10" ht="18" customHeight="1" spans="1:55" x14ac:dyDescent="0.25">
      <c r="A10" s="6">
        <v>5</v>
      </c>
      <c r="B10" s="13">
        <f>IF(INDEX('İzin Planı'!$C$6:$C$35,10-5)="","",INDEX('İzin Planı'!$C$6:$C$35,10-5))</f>
      </c>
      <c r="C10" s="13">
        <f>IF(INDEX('İzin Planı'!$C$6:$C$35,10-5)="","",IF(OR(AND(N(INDEX('İzin Planı'!$F$6:$F$35,10-5))&gt;0,INDEX('İzin Planı'!$F$6:$F$35,10-5)&lt;=('Özet'!$C$6+7*0)+6,INDEX('İzin Planı'!$G$6:$G$35,10-5)&gt;=('Özet'!$C$6+7*0)),AND(N(INDEX('İzin Planı'!$I$6:$I$35,10-5))&gt;0,INDEX('İzin Planı'!$I$6:$I$35,10-5)&lt;=('Özet'!$C$6+7*0)+6,INDEX('İzin Planı'!$J$6:$J$35,10-5)&gt;=('Özet'!$C$6+7*0)),AND(N(INDEX('İzin Planı'!$L$6:$L$35,10-5))&gt;0,INDEX('İzin Planı'!$L$6:$L$35,10-5)&lt;=('Özet'!$C$6+7*0)+6,INDEX('İzin Planı'!$M$6:$M$35,10-5)&gt;=('Özet'!$C$6+7*0))),"İ",""))</f>
      </c>
      <c r="D10" s="13">
        <f>IF(INDEX('İzin Planı'!$C$6:$C$35,10-5)="","",IF(OR(AND(N(INDEX('İzin Planı'!$F$6:$F$35,10-5))&gt;0,INDEX('İzin Planı'!$F$6:$F$35,10-5)&lt;=('Özet'!$C$6+7*1)+6,INDEX('İzin Planı'!$G$6:$G$35,10-5)&gt;=('Özet'!$C$6+7*1)),AND(N(INDEX('İzin Planı'!$I$6:$I$35,10-5))&gt;0,INDEX('İzin Planı'!$I$6:$I$35,10-5)&lt;=('Özet'!$C$6+7*1)+6,INDEX('İzin Planı'!$J$6:$J$35,10-5)&gt;=('Özet'!$C$6+7*1)),AND(N(INDEX('İzin Planı'!$L$6:$L$35,10-5))&gt;0,INDEX('İzin Planı'!$L$6:$L$35,10-5)&lt;=('Özet'!$C$6+7*1)+6,INDEX('İzin Planı'!$M$6:$M$35,10-5)&gt;=('Özet'!$C$6+7*1))),"İ",""))</f>
      </c>
      <c r="E10" s="13">
        <f>IF(INDEX('İzin Planı'!$C$6:$C$35,10-5)="","",IF(OR(AND(N(INDEX('İzin Planı'!$F$6:$F$35,10-5))&gt;0,INDEX('İzin Planı'!$F$6:$F$35,10-5)&lt;=('Özet'!$C$6+7*2)+6,INDEX('İzin Planı'!$G$6:$G$35,10-5)&gt;=('Özet'!$C$6+7*2)),AND(N(INDEX('İzin Planı'!$I$6:$I$35,10-5))&gt;0,INDEX('İzin Planı'!$I$6:$I$35,10-5)&lt;=('Özet'!$C$6+7*2)+6,INDEX('İzin Planı'!$J$6:$J$35,10-5)&gt;=('Özet'!$C$6+7*2)),AND(N(INDEX('İzin Planı'!$L$6:$L$35,10-5))&gt;0,INDEX('İzin Planı'!$L$6:$L$35,10-5)&lt;=('Özet'!$C$6+7*2)+6,INDEX('İzin Planı'!$M$6:$M$35,10-5)&gt;=('Özet'!$C$6+7*2))),"İ",""))</f>
      </c>
      <c r="F10" s="13">
        <f>IF(INDEX('İzin Planı'!$C$6:$C$35,10-5)="","",IF(OR(AND(N(INDEX('İzin Planı'!$F$6:$F$35,10-5))&gt;0,INDEX('İzin Planı'!$F$6:$F$35,10-5)&lt;=('Özet'!$C$6+7*3)+6,INDEX('İzin Planı'!$G$6:$G$35,10-5)&gt;=('Özet'!$C$6+7*3)),AND(N(INDEX('İzin Planı'!$I$6:$I$35,10-5))&gt;0,INDEX('İzin Planı'!$I$6:$I$35,10-5)&lt;=('Özet'!$C$6+7*3)+6,INDEX('İzin Planı'!$J$6:$J$35,10-5)&gt;=('Özet'!$C$6+7*3)),AND(N(INDEX('İzin Planı'!$L$6:$L$35,10-5))&gt;0,INDEX('İzin Planı'!$L$6:$L$35,10-5)&lt;=('Özet'!$C$6+7*3)+6,INDEX('İzin Planı'!$M$6:$M$35,10-5)&gt;=('Özet'!$C$6+7*3))),"İ",""))</f>
      </c>
      <c r="G10" s="13">
        <f>IF(INDEX('İzin Planı'!$C$6:$C$35,10-5)="","",IF(OR(AND(N(INDEX('İzin Planı'!$F$6:$F$35,10-5))&gt;0,INDEX('İzin Planı'!$F$6:$F$35,10-5)&lt;=('Özet'!$C$6+7*4)+6,INDEX('İzin Planı'!$G$6:$G$35,10-5)&gt;=('Özet'!$C$6+7*4)),AND(N(INDEX('İzin Planı'!$I$6:$I$35,10-5))&gt;0,INDEX('İzin Planı'!$I$6:$I$35,10-5)&lt;=('Özet'!$C$6+7*4)+6,INDEX('İzin Planı'!$J$6:$J$35,10-5)&gt;=('Özet'!$C$6+7*4)),AND(N(INDEX('İzin Planı'!$L$6:$L$35,10-5))&gt;0,INDEX('İzin Planı'!$L$6:$L$35,10-5)&lt;=('Özet'!$C$6+7*4)+6,INDEX('İzin Planı'!$M$6:$M$35,10-5)&gt;=('Özet'!$C$6+7*4))),"İ",""))</f>
      </c>
      <c r="H10" s="13">
        <f>IF(INDEX('İzin Planı'!$C$6:$C$35,10-5)="","",IF(OR(AND(N(INDEX('İzin Planı'!$F$6:$F$35,10-5))&gt;0,INDEX('İzin Planı'!$F$6:$F$35,10-5)&lt;=('Özet'!$C$6+7*5)+6,INDEX('İzin Planı'!$G$6:$G$35,10-5)&gt;=('Özet'!$C$6+7*5)),AND(N(INDEX('İzin Planı'!$I$6:$I$35,10-5))&gt;0,INDEX('İzin Planı'!$I$6:$I$35,10-5)&lt;=('Özet'!$C$6+7*5)+6,INDEX('İzin Planı'!$J$6:$J$35,10-5)&gt;=('Özet'!$C$6+7*5)),AND(N(INDEX('İzin Planı'!$L$6:$L$35,10-5))&gt;0,INDEX('İzin Planı'!$L$6:$L$35,10-5)&lt;=('Özet'!$C$6+7*5)+6,INDEX('İzin Planı'!$M$6:$M$35,10-5)&gt;=('Özet'!$C$6+7*5))),"İ",""))</f>
      </c>
      <c r="I10" s="13">
        <f>IF(INDEX('İzin Planı'!$C$6:$C$35,10-5)="","",IF(OR(AND(N(INDEX('İzin Planı'!$F$6:$F$35,10-5))&gt;0,INDEX('İzin Planı'!$F$6:$F$35,10-5)&lt;=('Özet'!$C$6+7*6)+6,INDEX('İzin Planı'!$G$6:$G$35,10-5)&gt;=('Özet'!$C$6+7*6)),AND(N(INDEX('İzin Planı'!$I$6:$I$35,10-5))&gt;0,INDEX('İzin Planı'!$I$6:$I$35,10-5)&lt;=('Özet'!$C$6+7*6)+6,INDEX('İzin Planı'!$J$6:$J$35,10-5)&gt;=('Özet'!$C$6+7*6)),AND(N(INDEX('İzin Planı'!$L$6:$L$35,10-5))&gt;0,INDEX('İzin Planı'!$L$6:$L$35,10-5)&lt;=('Özet'!$C$6+7*6)+6,INDEX('İzin Planı'!$M$6:$M$35,10-5)&gt;=('Özet'!$C$6+7*6))),"İ",""))</f>
      </c>
      <c r="J10" s="13">
        <f>IF(INDEX('İzin Planı'!$C$6:$C$35,10-5)="","",IF(OR(AND(N(INDEX('İzin Planı'!$F$6:$F$35,10-5))&gt;0,INDEX('İzin Planı'!$F$6:$F$35,10-5)&lt;=('Özet'!$C$6+7*7)+6,INDEX('İzin Planı'!$G$6:$G$35,10-5)&gt;=('Özet'!$C$6+7*7)),AND(N(INDEX('İzin Planı'!$I$6:$I$35,10-5))&gt;0,INDEX('İzin Planı'!$I$6:$I$35,10-5)&lt;=('Özet'!$C$6+7*7)+6,INDEX('İzin Planı'!$J$6:$J$35,10-5)&gt;=('Özet'!$C$6+7*7)),AND(N(INDEX('İzin Planı'!$L$6:$L$35,10-5))&gt;0,INDEX('İzin Planı'!$L$6:$L$35,10-5)&lt;=('Özet'!$C$6+7*7)+6,INDEX('İzin Planı'!$M$6:$M$35,10-5)&gt;=('Özet'!$C$6+7*7))),"İ",""))</f>
      </c>
      <c r="K10" s="13">
        <f>IF(INDEX('İzin Planı'!$C$6:$C$35,10-5)="","",IF(OR(AND(N(INDEX('İzin Planı'!$F$6:$F$35,10-5))&gt;0,INDEX('İzin Planı'!$F$6:$F$35,10-5)&lt;=('Özet'!$C$6+7*8)+6,INDEX('İzin Planı'!$G$6:$G$35,10-5)&gt;=('Özet'!$C$6+7*8)),AND(N(INDEX('İzin Planı'!$I$6:$I$35,10-5))&gt;0,INDEX('İzin Planı'!$I$6:$I$35,10-5)&lt;=('Özet'!$C$6+7*8)+6,INDEX('İzin Planı'!$J$6:$J$35,10-5)&gt;=('Özet'!$C$6+7*8)),AND(N(INDEX('İzin Planı'!$L$6:$L$35,10-5))&gt;0,INDEX('İzin Planı'!$L$6:$L$35,10-5)&lt;=('Özet'!$C$6+7*8)+6,INDEX('İzin Planı'!$M$6:$M$35,10-5)&gt;=('Özet'!$C$6+7*8))),"İ",""))</f>
      </c>
      <c r="L10" s="13">
        <f>IF(INDEX('İzin Planı'!$C$6:$C$35,10-5)="","",IF(OR(AND(N(INDEX('İzin Planı'!$F$6:$F$35,10-5))&gt;0,INDEX('İzin Planı'!$F$6:$F$35,10-5)&lt;=('Özet'!$C$6+7*9)+6,INDEX('İzin Planı'!$G$6:$G$35,10-5)&gt;=('Özet'!$C$6+7*9)),AND(N(INDEX('İzin Planı'!$I$6:$I$35,10-5))&gt;0,INDEX('İzin Planı'!$I$6:$I$35,10-5)&lt;=('Özet'!$C$6+7*9)+6,INDEX('İzin Planı'!$J$6:$J$35,10-5)&gt;=('Özet'!$C$6+7*9)),AND(N(INDEX('İzin Planı'!$L$6:$L$35,10-5))&gt;0,INDEX('İzin Planı'!$L$6:$L$35,10-5)&lt;=('Özet'!$C$6+7*9)+6,INDEX('İzin Planı'!$M$6:$M$35,10-5)&gt;=('Özet'!$C$6+7*9))),"İ",""))</f>
      </c>
      <c r="M10" s="13">
        <f>IF(INDEX('İzin Planı'!$C$6:$C$35,10-5)="","",IF(OR(AND(N(INDEX('İzin Planı'!$F$6:$F$35,10-5))&gt;0,INDEX('İzin Planı'!$F$6:$F$35,10-5)&lt;=('Özet'!$C$6+7*10)+6,INDEX('İzin Planı'!$G$6:$G$35,10-5)&gt;=('Özet'!$C$6+7*10)),AND(N(INDEX('İzin Planı'!$I$6:$I$35,10-5))&gt;0,INDEX('İzin Planı'!$I$6:$I$35,10-5)&lt;=('Özet'!$C$6+7*10)+6,INDEX('İzin Planı'!$J$6:$J$35,10-5)&gt;=('Özet'!$C$6+7*10)),AND(N(INDEX('İzin Planı'!$L$6:$L$35,10-5))&gt;0,INDEX('İzin Planı'!$L$6:$L$35,10-5)&lt;=('Özet'!$C$6+7*10)+6,INDEX('İzin Planı'!$M$6:$M$35,10-5)&gt;=('Özet'!$C$6+7*10))),"İ",""))</f>
      </c>
      <c r="N10" s="13">
        <f>IF(INDEX('İzin Planı'!$C$6:$C$35,10-5)="","",IF(OR(AND(N(INDEX('İzin Planı'!$F$6:$F$35,10-5))&gt;0,INDEX('İzin Planı'!$F$6:$F$35,10-5)&lt;=('Özet'!$C$6+7*11)+6,INDEX('İzin Planı'!$G$6:$G$35,10-5)&gt;=('Özet'!$C$6+7*11)),AND(N(INDEX('İzin Planı'!$I$6:$I$35,10-5))&gt;0,INDEX('İzin Planı'!$I$6:$I$35,10-5)&lt;=('Özet'!$C$6+7*11)+6,INDEX('İzin Planı'!$J$6:$J$35,10-5)&gt;=('Özet'!$C$6+7*11)),AND(N(INDEX('İzin Planı'!$L$6:$L$35,10-5))&gt;0,INDEX('İzin Planı'!$L$6:$L$35,10-5)&lt;=('Özet'!$C$6+7*11)+6,INDEX('İzin Planı'!$M$6:$M$35,10-5)&gt;=('Özet'!$C$6+7*11))),"İ",""))</f>
      </c>
      <c r="O10" s="13">
        <f>IF(INDEX('İzin Planı'!$C$6:$C$35,10-5)="","",IF(OR(AND(N(INDEX('İzin Planı'!$F$6:$F$35,10-5))&gt;0,INDEX('İzin Planı'!$F$6:$F$35,10-5)&lt;=('Özet'!$C$6+7*12)+6,INDEX('İzin Planı'!$G$6:$G$35,10-5)&gt;=('Özet'!$C$6+7*12)),AND(N(INDEX('İzin Planı'!$I$6:$I$35,10-5))&gt;0,INDEX('İzin Planı'!$I$6:$I$35,10-5)&lt;=('Özet'!$C$6+7*12)+6,INDEX('İzin Planı'!$J$6:$J$35,10-5)&gt;=('Özet'!$C$6+7*12)),AND(N(INDEX('İzin Planı'!$L$6:$L$35,10-5))&gt;0,INDEX('İzin Planı'!$L$6:$L$35,10-5)&lt;=('Özet'!$C$6+7*12)+6,INDEX('İzin Planı'!$M$6:$M$35,10-5)&gt;=('Özet'!$C$6+7*12))),"İ",""))</f>
      </c>
      <c r="P10" s="13">
        <f>IF(INDEX('İzin Planı'!$C$6:$C$35,10-5)="","",IF(OR(AND(N(INDEX('İzin Planı'!$F$6:$F$35,10-5))&gt;0,INDEX('İzin Planı'!$F$6:$F$35,10-5)&lt;=('Özet'!$C$6+7*13)+6,INDEX('İzin Planı'!$G$6:$G$35,10-5)&gt;=('Özet'!$C$6+7*13)),AND(N(INDEX('İzin Planı'!$I$6:$I$35,10-5))&gt;0,INDEX('İzin Planı'!$I$6:$I$35,10-5)&lt;=('Özet'!$C$6+7*13)+6,INDEX('İzin Planı'!$J$6:$J$35,10-5)&gt;=('Özet'!$C$6+7*13)),AND(N(INDEX('İzin Planı'!$L$6:$L$35,10-5))&gt;0,INDEX('İzin Planı'!$L$6:$L$35,10-5)&lt;=('Özet'!$C$6+7*13)+6,INDEX('İzin Planı'!$M$6:$M$35,10-5)&gt;=('Özet'!$C$6+7*13))),"İ",""))</f>
      </c>
      <c r="Q10" s="13">
        <f>IF(INDEX('İzin Planı'!$C$6:$C$35,10-5)="","",IF(OR(AND(N(INDEX('İzin Planı'!$F$6:$F$35,10-5))&gt;0,INDEX('İzin Planı'!$F$6:$F$35,10-5)&lt;=('Özet'!$C$6+7*14)+6,INDEX('İzin Planı'!$G$6:$G$35,10-5)&gt;=('Özet'!$C$6+7*14)),AND(N(INDEX('İzin Planı'!$I$6:$I$35,10-5))&gt;0,INDEX('İzin Planı'!$I$6:$I$35,10-5)&lt;=('Özet'!$C$6+7*14)+6,INDEX('İzin Planı'!$J$6:$J$35,10-5)&gt;=('Özet'!$C$6+7*14)),AND(N(INDEX('İzin Planı'!$L$6:$L$35,10-5))&gt;0,INDEX('İzin Planı'!$L$6:$L$35,10-5)&lt;=('Özet'!$C$6+7*14)+6,INDEX('İzin Planı'!$M$6:$M$35,10-5)&gt;=('Özet'!$C$6+7*14))),"İ",""))</f>
      </c>
      <c r="R10" s="13">
        <f>IF(INDEX('İzin Planı'!$C$6:$C$35,10-5)="","",IF(OR(AND(N(INDEX('İzin Planı'!$F$6:$F$35,10-5))&gt;0,INDEX('İzin Planı'!$F$6:$F$35,10-5)&lt;=('Özet'!$C$6+7*15)+6,INDEX('İzin Planı'!$G$6:$G$35,10-5)&gt;=('Özet'!$C$6+7*15)),AND(N(INDEX('İzin Planı'!$I$6:$I$35,10-5))&gt;0,INDEX('İzin Planı'!$I$6:$I$35,10-5)&lt;=('Özet'!$C$6+7*15)+6,INDEX('İzin Planı'!$J$6:$J$35,10-5)&gt;=('Özet'!$C$6+7*15)),AND(N(INDEX('İzin Planı'!$L$6:$L$35,10-5))&gt;0,INDEX('İzin Planı'!$L$6:$L$35,10-5)&lt;=('Özet'!$C$6+7*15)+6,INDEX('İzin Planı'!$M$6:$M$35,10-5)&gt;=('Özet'!$C$6+7*15))),"İ",""))</f>
      </c>
      <c r="S10" s="13">
        <f>IF(INDEX('İzin Planı'!$C$6:$C$35,10-5)="","",IF(OR(AND(N(INDEX('İzin Planı'!$F$6:$F$35,10-5))&gt;0,INDEX('İzin Planı'!$F$6:$F$35,10-5)&lt;=('Özet'!$C$6+7*16)+6,INDEX('İzin Planı'!$G$6:$G$35,10-5)&gt;=('Özet'!$C$6+7*16)),AND(N(INDEX('İzin Planı'!$I$6:$I$35,10-5))&gt;0,INDEX('İzin Planı'!$I$6:$I$35,10-5)&lt;=('Özet'!$C$6+7*16)+6,INDEX('İzin Planı'!$J$6:$J$35,10-5)&gt;=('Özet'!$C$6+7*16)),AND(N(INDEX('İzin Planı'!$L$6:$L$35,10-5))&gt;0,INDEX('İzin Planı'!$L$6:$L$35,10-5)&lt;=('Özet'!$C$6+7*16)+6,INDEX('İzin Planı'!$M$6:$M$35,10-5)&gt;=('Özet'!$C$6+7*16))),"İ",""))</f>
      </c>
      <c r="T10" s="13">
        <f>IF(INDEX('İzin Planı'!$C$6:$C$35,10-5)="","",IF(OR(AND(N(INDEX('İzin Planı'!$F$6:$F$35,10-5))&gt;0,INDEX('İzin Planı'!$F$6:$F$35,10-5)&lt;=('Özet'!$C$6+7*17)+6,INDEX('İzin Planı'!$G$6:$G$35,10-5)&gt;=('Özet'!$C$6+7*17)),AND(N(INDEX('İzin Planı'!$I$6:$I$35,10-5))&gt;0,INDEX('İzin Planı'!$I$6:$I$35,10-5)&lt;=('Özet'!$C$6+7*17)+6,INDEX('İzin Planı'!$J$6:$J$35,10-5)&gt;=('Özet'!$C$6+7*17)),AND(N(INDEX('İzin Planı'!$L$6:$L$35,10-5))&gt;0,INDEX('İzin Planı'!$L$6:$L$35,10-5)&lt;=('Özet'!$C$6+7*17)+6,INDEX('İzin Planı'!$M$6:$M$35,10-5)&gt;=('Özet'!$C$6+7*17))),"İ",""))</f>
      </c>
      <c r="U10" s="13">
        <f>IF(INDEX('İzin Planı'!$C$6:$C$35,10-5)="","",IF(OR(AND(N(INDEX('İzin Planı'!$F$6:$F$35,10-5))&gt;0,INDEX('İzin Planı'!$F$6:$F$35,10-5)&lt;=('Özet'!$C$6+7*18)+6,INDEX('İzin Planı'!$G$6:$G$35,10-5)&gt;=('Özet'!$C$6+7*18)),AND(N(INDEX('İzin Planı'!$I$6:$I$35,10-5))&gt;0,INDEX('İzin Planı'!$I$6:$I$35,10-5)&lt;=('Özet'!$C$6+7*18)+6,INDEX('İzin Planı'!$J$6:$J$35,10-5)&gt;=('Özet'!$C$6+7*18)),AND(N(INDEX('İzin Planı'!$L$6:$L$35,10-5))&gt;0,INDEX('İzin Planı'!$L$6:$L$35,10-5)&lt;=('Özet'!$C$6+7*18)+6,INDEX('İzin Planı'!$M$6:$M$35,10-5)&gt;=('Özet'!$C$6+7*18))),"İ",""))</f>
      </c>
      <c r="V10" s="13">
        <f>IF(INDEX('İzin Planı'!$C$6:$C$35,10-5)="","",IF(OR(AND(N(INDEX('İzin Planı'!$F$6:$F$35,10-5))&gt;0,INDEX('İzin Planı'!$F$6:$F$35,10-5)&lt;=('Özet'!$C$6+7*19)+6,INDEX('İzin Planı'!$G$6:$G$35,10-5)&gt;=('Özet'!$C$6+7*19)),AND(N(INDEX('İzin Planı'!$I$6:$I$35,10-5))&gt;0,INDEX('İzin Planı'!$I$6:$I$35,10-5)&lt;=('Özet'!$C$6+7*19)+6,INDEX('İzin Planı'!$J$6:$J$35,10-5)&gt;=('Özet'!$C$6+7*19)),AND(N(INDEX('İzin Planı'!$L$6:$L$35,10-5))&gt;0,INDEX('İzin Planı'!$L$6:$L$35,10-5)&lt;=('Özet'!$C$6+7*19)+6,INDEX('İzin Planı'!$M$6:$M$35,10-5)&gt;=('Özet'!$C$6+7*19))),"İ",""))</f>
      </c>
      <c r="W10" s="13">
        <f>IF(INDEX('İzin Planı'!$C$6:$C$35,10-5)="","",IF(OR(AND(N(INDEX('İzin Planı'!$F$6:$F$35,10-5))&gt;0,INDEX('İzin Planı'!$F$6:$F$35,10-5)&lt;=('Özet'!$C$6+7*20)+6,INDEX('İzin Planı'!$G$6:$G$35,10-5)&gt;=('Özet'!$C$6+7*20)),AND(N(INDEX('İzin Planı'!$I$6:$I$35,10-5))&gt;0,INDEX('İzin Planı'!$I$6:$I$35,10-5)&lt;=('Özet'!$C$6+7*20)+6,INDEX('İzin Planı'!$J$6:$J$35,10-5)&gt;=('Özet'!$C$6+7*20)),AND(N(INDEX('İzin Planı'!$L$6:$L$35,10-5))&gt;0,INDEX('İzin Planı'!$L$6:$L$35,10-5)&lt;=('Özet'!$C$6+7*20)+6,INDEX('İzin Planı'!$M$6:$M$35,10-5)&gt;=('Özet'!$C$6+7*20))),"İ",""))</f>
      </c>
      <c r="X10" s="13">
        <f>IF(INDEX('İzin Planı'!$C$6:$C$35,10-5)="","",IF(OR(AND(N(INDEX('İzin Planı'!$F$6:$F$35,10-5))&gt;0,INDEX('İzin Planı'!$F$6:$F$35,10-5)&lt;=('Özet'!$C$6+7*21)+6,INDEX('İzin Planı'!$G$6:$G$35,10-5)&gt;=('Özet'!$C$6+7*21)),AND(N(INDEX('İzin Planı'!$I$6:$I$35,10-5))&gt;0,INDEX('İzin Planı'!$I$6:$I$35,10-5)&lt;=('Özet'!$C$6+7*21)+6,INDEX('İzin Planı'!$J$6:$J$35,10-5)&gt;=('Özet'!$C$6+7*21)),AND(N(INDEX('İzin Planı'!$L$6:$L$35,10-5))&gt;0,INDEX('İzin Planı'!$L$6:$L$35,10-5)&lt;=('Özet'!$C$6+7*21)+6,INDEX('İzin Planı'!$M$6:$M$35,10-5)&gt;=('Özet'!$C$6+7*21))),"İ",""))</f>
      </c>
      <c r="Y10" s="13">
        <f>IF(INDEX('İzin Planı'!$C$6:$C$35,10-5)="","",IF(OR(AND(N(INDEX('İzin Planı'!$F$6:$F$35,10-5))&gt;0,INDEX('İzin Planı'!$F$6:$F$35,10-5)&lt;=('Özet'!$C$6+7*22)+6,INDEX('İzin Planı'!$G$6:$G$35,10-5)&gt;=('Özet'!$C$6+7*22)),AND(N(INDEX('İzin Planı'!$I$6:$I$35,10-5))&gt;0,INDEX('İzin Planı'!$I$6:$I$35,10-5)&lt;=('Özet'!$C$6+7*22)+6,INDEX('İzin Planı'!$J$6:$J$35,10-5)&gt;=('Özet'!$C$6+7*22)),AND(N(INDEX('İzin Planı'!$L$6:$L$35,10-5))&gt;0,INDEX('İzin Planı'!$L$6:$L$35,10-5)&lt;=('Özet'!$C$6+7*22)+6,INDEX('İzin Planı'!$M$6:$M$35,10-5)&gt;=('Özet'!$C$6+7*22))),"İ",""))</f>
      </c>
      <c r="Z10" s="13">
        <f>IF(INDEX('İzin Planı'!$C$6:$C$35,10-5)="","",IF(OR(AND(N(INDEX('İzin Planı'!$F$6:$F$35,10-5))&gt;0,INDEX('İzin Planı'!$F$6:$F$35,10-5)&lt;=('Özet'!$C$6+7*23)+6,INDEX('İzin Planı'!$G$6:$G$35,10-5)&gt;=('Özet'!$C$6+7*23)),AND(N(INDEX('İzin Planı'!$I$6:$I$35,10-5))&gt;0,INDEX('İzin Planı'!$I$6:$I$35,10-5)&lt;=('Özet'!$C$6+7*23)+6,INDEX('İzin Planı'!$J$6:$J$35,10-5)&gt;=('Özet'!$C$6+7*23)),AND(N(INDEX('İzin Planı'!$L$6:$L$35,10-5))&gt;0,INDEX('İzin Planı'!$L$6:$L$35,10-5)&lt;=('Özet'!$C$6+7*23)+6,INDEX('İzin Planı'!$M$6:$M$35,10-5)&gt;=('Özet'!$C$6+7*23))),"İ",""))</f>
      </c>
      <c r="AA10" s="13">
        <f>IF(INDEX('İzin Planı'!$C$6:$C$35,10-5)="","",IF(OR(AND(N(INDEX('İzin Planı'!$F$6:$F$35,10-5))&gt;0,INDEX('İzin Planı'!$F$6:$F$35,10-5)&lt;=('Özet'!$C$6+7*24)+6,INDEX('İzin Planı'!$G$6:$G$35,10-5)&gt;=('Özet'!$C$6+7*24)),AND(N(INDEX('İzin Planı'!$I$6:$I$35,10-5))&gt;0,INDEX('İzin Planı'!$I$6:$I$35,10-5)&lt;=('Özet'!$C$6+7*24)+6,INDEX('İzin Planı'!$J$6:$J$35,10-5)&gt;=('Özet'!$C$6+7*24)),AND(N(INDEX('İzin Planı'!$L$6:$L$35,10-5))&gt;0,INDEX('İzin Planı'!$L$6:$L$35,10-5)&lt;=('Özet'!$C$6+7*24)+6,INDEX('İzin Planı'!$M$6:$M$35,10-5)&gt;=('Özet'!$C$6+7*24))),"İ",""))</f>
      </c>
      <c r="AB10" s="13">
        <f>IF(INDEX('İzin Planı'!$C$6:$C$35,10-5)="","",IF(OR(AND(N(INDEX('İzin Planı'!$F$6:$F$35,10-5))&gt;0,INDEX('İzin Planı'!$F$6:$F$35,10-5)&lt;=('Özet'!$C$6+7*25)+6,INDEX('İzin Planı'!$G$6:$G$35,10-5)&gt;=('Özet'!$C$6+7*25)),AND(N(INDEX('İzin Planı'!$I$6:$I$35,10-5))&gt;0,INDEX('İzin Planı'!$I$6:$I$35,10-5)&lt;=('Özet'!$C$6+7*25)+6,INDEX('İzin Planı'!$J$6:$J$35,10-5)&gt;=('Özet'!$C$6+7*25)),AND(N(INDEX('İzin Planı'!$L$6:$L$35,10-5))&gt;0,INDEX('İzin Planı'!$L$6:$L$35,10-5)&lt;=('Özet'!$C$6+7*25)+6,INDEX('İzin Planı'!$M$6:$M$35,10-5)&gt;=('Özet'!$C$6+7*25))),"İ",""))</f>
      </c>
      <c r="AC10" s="13">
        <f>IF(INDEX('İzin Planı'!$C$6:$C$35,10-5)="","",IF(OR(AND(N(INDEX('İzin Planı'!$F$6:$F$35,10-5))&gt;0,INDEX('İzin Planı'!$F$6:$F$35,10-5)&lt;=('Özet'!$C$6+7*26)+6,INDEX('İzin Planı'!$G$6:$G$35,10-5)&gt;=('Özet'!$C$6+7*26)),AND(N(INDEX('İzin Planı'!$I$6:$I$35,10-5))&gt;0,INDEX('İzin Planı'!$I$6:$I$35,10-5)&lt;=('Özet'!$C$6+7*26)+6,INDEX('İzin Planı'!$J$6:$J$35,10-5)&gt;=('Özet'!$C$6+7*26)),AND(N(INDEX('İzin Planı'!$L$6:$L$35,10-5))&gt;0,INDEX('İzin Planı'!$L$6:$L$35,10-5)&lt;=('Özet'!$C$6+7*26)+6,INDEX('İzin Planı'!$M$6:$M$35,10-5)&gt;=('Özet'!$C$6+7*26))),"İ",""))</f>
      </c>
      <c r="AD10" s="13">
        <f>IF(INDEX('İzin Planı'!$C$6:$C$35,10-5)="","",IF(OR(AND(N(INDEX('İzin Planı'!$F$6:$F$35,10-5))&gt;0,INDEX('İzin Planı'!$F$6:$F$35,10-5)&lt;=('Özet'!$C$6+7*27)+6,INDEX('İzin Planı'!$G$6:$G$35,10-5)&gt;=('Özet'!$C$6+7*27)),AND(N(INDEX('İzin Planı'!$I$6:$I$35,10-5))&gt;0,INDEX('İzin Planı'!$I$6:$I$35,10-5)&lt;=('Özet'!$C$6+7*27)+6,INDEX('İzin Planı'!$J$6:$J$35,10-5)&gt;=('Özet'!$C$6+7*27)),AND(N(INDEX('İzin Planı'!$L$6:$L$35,10-5))&gt;0,INDEX('İzin Planı'!$L$6:$L$35,10-5)&lt;=('Özet'!$C$6+7*27)+6,INDEX('İzin Planı'!$M$6:$M$35,10-5)&gt;=('Özet'!$C$6+7*27))),"İ",""))</f>
      </c>
      <c r="AE10" s="13">
        <f>IF(INDEX('İzin Planı'!$C$6:$C$35,10-5)="","",IF(OR(AND(N(INDEX('İzin Planı'!$F$6:$F$35,10-5))&gt;0,INDEX('İzin Planı'!$F$6:$F$35,10-5)&lt;=('Özet'!$C$6+7*28)+6,INDEX('İzin Planı'!$G$6:$G$35,10-5)&gt;=('Özet'!$C$6+7*28)),AND(N(INDEX('İzin Planı'!$I$6:$I$35,10-5))&gt;0,INDEX('İzin Planı'!$I$6:$I$35,10-5)&lt;=('Özet'!$C$6+7*28)+6,INDEX('İzin Planı'!$J$6:$J$35,10-5)&gt;=('Özet'!$C$6+7*28)),AND(N(INDEX('İzin Planı'!$L$6:$L$35,10-5))&gt;0,INDEX('İzin Planı'!$L$6:$L$35,10-5)&lt;=('Özet'!$C$6+7*28)+6,INDEX('İzin Planı'!$M$6:$M$35,10-5)&gt;=('Özet'!$C$6+7*28))),"İ",""))</f>
      </c>
      <c r="AF10" s="13">
        <f>IF(INDEX('İzin Planı'!$C$6:$C$35,10-5)="","",IF(OR(AND(N(INDEX('İzin Planı'!$F$6:$F$35,10-5))&gt;0,INDEX('İzin Planı'!$F$6:$F$35,10-5)&lt;=('Özet'!$C$6+7*29)+6,INDEX('İzin Planı'!$G$6:$G$35,10-5)&gt;=('Özet'!$C$6+7*29)),AND(N(INDEX('İzin Planı'!$I$6:$I$35,10-5))&gt;0,INDEX('İzin Planı'!$I$6:$I$35,10-5)&lt;=('Özet'!$C$6+7*29)+6,INDEX('İzin Planı'!$J$6:$J$35,10-5)&gt;=('Özet'!$C$6+7*29)),AND(N(INDEX('İzin Planı'!$L$6:$L$35,10-5))&gt;0,INDEX('İzin Planı'!$L$6:$L$35,10-5)&lt;=('Özet'!$C$6+7*29)+6,INDEX('İzin Planı'!$M$6:$M$35,10-5)&gt;=('Özet'!$C$6+7*29))),"İ",""))</f>
      </c>
      <c r="AG10" s="13">
        <f>IF(INDEX('İzin Planı'!$C$6:$C$35,10-5)="","",IF(OR(AND(N(INDEX('İzin Planı'!$F$6:$F$35,10-5))&gt;0,INDEX('İzin Planı'!$F$6:$F$35,10-5)&lt;=('Özet'!$C$6+7*30)+6,INDEX('İzin Planı'!$G$6:$G$35,10-5)&gt;=('Özet'!$C$6+7*30)),AND(N(INDEX('İzin Planı'!$I$6:$I$35,10-5))&gt;0,INDEX('İzin Planı'!$I$6:$I$35,10-5)&lt;=('Özet'!$C$6+7*30)+6,INDEX('İzin Planı'!$J$6:$J$35,10-5)&gt;=('Özet'!$C$6+7*30)),AND(N(INDEX('İzin Planı'!$L$6:$L$35,10-5))&gt;0,INDEX('İzin Planı'!$L$6:$L$35,10-5)&lt;=('Özet'!$C$6+7*30)+6,INDEX('İzin Planı'!$M$6:$M$35,10-5)&gt;=('Özet'!$C$6+7*30))),"İ",""))</f>
      </c>
      <c r="AH10" s="13">
        <f>IF(INDEX('İzin Planı'!$C$6:$C$35,10-5)="","",IF(OR(AND(N(INDEX('İzin Planı'!$F$6:$F$35,10-5))&gt;0,INDEX('İzin Planı'!$F$6:$F$35,10-5)&lt;=('Özet'!$C$6+7*31)+6,INDEX('İzin Planı'!$G$6:$G$35,10-5)&gt;=('Özet'!$C$6+7*31)),AND(N(INDEX('İzin Planı'!$I$6:$I$35,10-5))&gt;0,INDEX('İzin Planı'!$I$6:$I$35,10-5)&lt;=('Özet'!$C$6+7*31)+6,INDEX('İzin Planı'!$J$6:$J$35,10-5)&gt;=('Özet'!$C$6+7*31)),AND(N(INDEX('İzin Planı'!$L$6:$L$35,10-5))&gt;0,INDEX('İzin Planı'!$L$6:$L$35,10-5)&lt;=('Özet'!$C$6+7*31)+6,INDEX('İzin Planı'!$M$6:$M$35,10-5)&gt;=('Özet'!$C$6+7*31))),"İ",""))</f>
      </c>
      <c r="AI10" s="13">
        <f>IF(INDEX('İzin Planı'!$C$6:$C$35,10-5)="","",IF(OR(AND(N(INDEX('İzin Planı'!$F$6:$F$35,10-5))&gt;0,INDEX('İzin Planı'!$F$6:$F$35,10-5)&lt;=('Özet'!$C$6+7*32)+6,INDEX('İzin Planı'!$G$6:$G$35,10-5)&gt;=('Özet'!$C$6+7*32)),AND(N(INDEX('İzin Planı'!$I$6:$I$35,10-5))&gt;0,INDEX('İzin Planı'!$I$6:$I$35,10-5)&lt;=('Özet'!$C$6+7*32)+6,INDEX('İzin Planı'!$J$6:$J$35,10-5)&gt;=('Özet'!$C$6+7*32)),AND(N(INDEX('İzin Planı'!$L$6:$L$35,10-5))&gt;0,INDEX('İzin Planı'!$L$6:$L$35,10-5)&lt;=('Özet'!$C$6+7*32)+6,INDEX('İzin Planı'!$M$6:$M$35,10-5)&gt;=('Özet'!$C$6+7*32))),"İ",""))</f>
      </c>
      <c r="AJ10" s="13">
        <f>IF(INDEX('İzin Planı'!$C$6:$C$35,10-5)="","",IF(OR(AND(N(INDEX('İzin Planı'!$F$6:$F$35,10-5))&gt;0,INDEX('İzin Planı'!$F$6:$F$35,10-5)&lt;=('Özet'!$C$6+7*33)+6,INDEX('İzin Planı'!$G$6:$G$35,10-5)&gt;=('Özet'!$C$6+7*33)),AND(N(INDEX('İzin Planı'!$I$6:$I$35,10-5))&gt;0,INDEX('İzin Planı'!$I$6:$I$35,10-5)&lt;=('Özet'!$C$6+7*33)+6,INDEX('İzin Planı'!$J$6:$J$35,10-5)&gt;=('Özet'!$C$6+7*33)),AND(N(INDEX('İzin Planı'!$L$6:$L$35,10-5))&gt;0,INDEX('İzin Planı'!$L$6:$L$35,10-5)&lt;=('Özet'!$C$6+7*33)+6,INDEX('İzin Planı'!$M$6:$M$35,10-5)&gt;=('Özet'!$C$6+7*33))),"İ",""))</f>
      </c>
      <c r="AK10" s="13">
        <f>IF(INDEX('İzin Planı'!$C$6:$C$35,10-5)="","",IF(OR(AND(N(INDEX('İzin Planı'!$F$6:$F$35,10-5))&gt;0,INDEX('İzin Planı'!$F$6:$F$35,10-5)&lt;=('Özet'!$C$6+7*34)+6,INDEX('İzin Planı'!$G$6:$G$35,10-5)&gt;=('Özet'!$C$6+7*34)),AND(N(INDEX('İzin Planı'!$I$6:$I$35,10-5))&gt;0,INDEX('İzin Planı'!$I$6:$I$35,10-5)&lt;=('Özet'!$C$6+7*34)+6,INDEX('İzin Planı'!$J$6:$J$35,10-5)&gt;=('Özet'!$C$6+7*34)),AND(N(INDEX('İzin Planı'!$L$6:$L$35,10-5))&gt;0,INDEX('İzin Planı'!$L$6:$L$35,10-5)&lt;=('Özet'!$C$6+7*34)+6,INDEX('İzin Planı'!$M$6:$M$35,10-5)&gt;=('Özet'!$C$6+7*34))),"İ",""))</f>
      </c>
      <c r="AL10" s="13">
        <f>IF(INDEX('İzin Planı'!$C$6:$C$35,10-5)="","",IF(OR(AND(N(INDEX('İzin Planı'!$F$6:$F$35,10-5))&gt;0,INDEX('İzin Planı'!$F$6:$F$35,10-5)&lt;=('Özet'!$C$6+7*35)+6,INDEX('İzin Planı'!$G$6:$G$35,10-5)&gt;=('Özet'!$C$6+7*35)),AND(N(INDEX('İzin Planı'!$I$6:$I$35,10-5))&gt;0,INDEX('İzin Planı'!$I$6:$I$35,10-5)&lt;=('Özet'!$C$6+7*35)+6,INDEX('İzin Planı'!$J$6:$J$35,10-5)&gt;=('Özet'!$C$6+7*35)),AND(N(INDEX('İzin Planı'!$L$6:$L$35,10-5))&gt;0,INDEX('İzin Planı'!$L$6:$L$35,10-5)&lt;=('Özet'!$C$6+7*35)+6,INDEX('İzin Planı'!$M$6:$M$35,10-5)&gt;=('Özet'!$C$6+7*35))),"İ",""))</f>
      </c>
      <c r="AM10" s="13">
        <f>IF(INDEX('İzin Planı'!$C$6:$C$35,10-5)="","",IF(OR(AND(N(INDEX('İzin Planı'!$F$6:$F$35,10-5))&gt;0,INDEX('İzin Planı'!$F$6:$F$35,10-5)&lt;=('Özet'!$C$6+7*36)+6,INDEX('İzin Planı'!$G$6:$G$35,10-5)&gt;=('Özet'!$C$6+7*36)),AND(N(INDEX('İzin Planı'!$I$6:$I$35,10-5))&gt;0,INDEX('İzin Planı'!$I$6:$I$35,10-5)&lt;=('Özet'!$C$6+7*36)+6,INDEX('İzin Planı'!$J$6:$J$35,10-5)&gt;=('Özet'!$C$6+7*36)),AND(N(INDEX('İzin Planı'!$L$6:$L$35,10-5))&gt;0,INDEX('İzin Planı'!$L$6:$L$35,10-5)&lt;=('Özet'!$C$6+7*36)+6,INDEX('İzin Planı'!$M$6:$M$35,10-5)&gt;=('Özet'!$C$6+7*36))),"İ",""))</f>
      </c>
      <c r="AN10" s="13">
        <f>IF(INDEX('İzin Planı'!$C$6:$C$35,10-5)="","",IF(OR(AND(N(INDEX('İzin Planı'!$F$6:$F$35,10-5))&gt;0,INDEX('İzin Planı'!$F$6:$F$35,10-5)&lt;=('Özet'!$C$6+7*37)+6,INDEX('İzin Planı'!$G$6:$G$35,10-5)&gt;=('Özet'!$C$6+7*37)),AND(N(INDEX('İzin Planı'!$I$6:$I$35,10-5))&gt;0,INDEX('İzin Planı'!$I$6:$I$35,10-5)&lt;=('Özet'!$C$6+7*37)+6,INDEX('İzin Planı'!$J$6:$J$35,10-5)&gt;=('Özet'!$C$6+7*37)),AND(N(INDEX('İzin Planı'!$L$6:$L$35,10-5))&gt;0,INDEX('İzin Planı'!$L$6:$L$35,10-5)&lt;=('Özet'!$C$6+7*37)+6,INDEX('İzin Planı'!$M$6:$M$35,10-5)&gt;=('Özet'!$C$6+7*37))),"İ",""))</f>
      </c>
      <c r="AO10" s="13">
        <f>IF(INDEX('İzin Planı'!$C$6:$C$35,10-5)="","",IF(OR(AND(N(INDEX('İzin Planı'!$F$6:$F$35,10-5))&gt;0,INDEX('İzin Planı'!$F$6:$F$35,10-5)&lt;=('Özet'!$C$6+7*38)+6,INDEX('İzin Planı'!$G$6:$G$35,10-5)&gt;=('Özet'!$C$6+7*38)),AND(N(INDEX('İzin Planı'!$I$6:$I$35,10-5))&gt;0,INDEX('İzin Planı'!$I$6:$I$35,10-5)&lt;=('Özet'!$C$6+7*38)+6,INDEX('İzin Planı'!$J$6:$J$35,10-5)&gt;=('Özet'!$C$6+7*38)),AND(N(INDEX('İzin Planı'!$L$6:$L$35,10-5))&gt;0,INDEX('İzin Planı'!$L$6:$L$35,10-5)&lt;=('Özet'!$C$6+7*38)+6,INDEX('İzin Planı'!$M$6:$M$35,10-5)&gt;=('Özet'!$C$6+7*38))),"İ",""))</f>
      </c>
      <c r="AP10" s="13">
        <f>IF(INDEX('İzin Planı'!$C$6:$C$35,10-5)="","",IF(OR(AND(N(INDEX('İzin Planı'!$F$6:$F$35,10-5))&gt;0,INDEX('İzin Planı'!$F$6:$F$35,10-5)&lt;=('Özet'!$C$6+7*39)+6,INDEX('İzin Planı'!$G$6:$G$35,10-5)&gt;=('Özet'!$C$6+7*39)),AND(N(INDEX('İzin Planı'!$I$6:$I$35,10-5))&gt;0,INDEX('İzin Planı'!$I$6:$I$35,10-5)&lt;=('Özet'!$C$6+7*39)+6,INDEX('İzin Planı'!$J$6:$J$35,10-5)&gt;=('Özet'!$C$6+7*39)),AND(N(INDEX('İzin Planı'!$L$6:$L$35,10-5))&gt;0,INDEX('İzin Planı'!$L$6:$L$35,10-5)&lt;=('Özet'!$C$6+7*39)+6,INDEX('İzin Planı'!$M$6:$M$35,10-5)&gt;=('Özet'!$C$6+7*39))),"İ",""))</f>
      </c>
      <c r="AQ10" s="13">
        <f>IF(INDEX('İzin Planı'!$C$6:$C$35,10-5)="","",IF(OR(AND(N(INDEX('İzin Planı'!$F$6:$F$35,10-5))&gt;0,INDEX('İzin Planı'!$F$6:$F$35,10-5)&lt;=('Özet'!$C$6+7*40)+6,INDEX('İzin Planı'!$G$6:$G$35,10-5)&gt;=('Özet'!$C$6+7*40)),AND(N(INDEX('İzin Planı'!$I$6:$I$35,10-5))&gt;0,INDEX('İzin Planı'!$I$6:$I$35,10-5)&lt;=('Özet'!$C$6+7*40)+6,INDEX('İzin Planı'!$J$6:$J$35,10-5)&gt;=('Özet'!$C$6+7*40)),AND(N(INDEX('İzin Planı'!$L$6:$L$35,10-5))&gt;0,INDEX('İzin Planı'!$L$6:$L$35,10-5)&lt;=('Özet'!$C$6+7*40)+6,INDEX('İzin Planı'!$M$6:$M$35,10-5)&gt;=('Özet'!$C$6+7*40))),"İ",""))</f>
      </c>
      <c r="AR10" s="13">
        <f>IF(INDEX('İzin Planı'!$C$6:$C$35,10-5)="","",IF(OR(AND(N(INDEX('İzin Planı'!$F$6:$F$35,10-5))&gt;0,INDEX('İzin Planı'!$F$6:$F$35,10-5)&lt;=('Özet'!$C$6+7*41)+6,INDEX('İzin Planı'!$G$6:$G$35,10-5)&gt;=('Özet'!$C$6+7*41)),AND(N(INDEX('İzin Planı'!$I$6:$I$35,10-5))&gt;0,INDEX('İzin Planı'!$I$6:$I$35,10-5)&lt;=('Özet'!$C$6+7*41)+6,INDEX('İzin Planı'!$J$6:$J$35,10-5)&gt;=('Özet'!$C$6+7*41)),AND(N(INDEX('İzin Planı'!$L$6:$L$35,10-5))&gt;0,INDEX('İzin Planı'!$L$6:$L$35,10-5)&lt;=('Özet'!$C$6+7*41)+6,INDEX('İzin Planı'!$M$6:$M$35,10-5)&gt;=('Özet'!$C$6+7*41))),"İ",""))</f>
      </c>
      <c r="AS10" s="13">
        <f>IF(INDEX('İzin Planı'!$C$6:$C$35,10-5)="","",IF(OR(AND(N(INDEX('İzin Planı'!$F$6:$F$35,10-5))&gt;0,INDEX('İzin Planı'!$F$6:$F$35,10-5)&lt;=('Özet'!$C$6+7*42)+6,INDEX('İzin Planı'!$G$6:$G$35,10-5)&gt;=('Özet'!$C$6+7*42)),AND(N(INDEX('İzin Planı'!$I$6:$I$35,10-5))&gt;0,INDEX('İzin Planı'!$I$6:$I$35,10-5)&lt;=('Özet'!$C$6+7*42)+6,INDEX('İzin Planı'!$J$6:$J$35,10-5)&gt;=('Özet'!$C$6+7*42)),AND(N(INDEX('İzin Planı'!$L$6:$L$35,10-5))&gt;0,INDEX('İzin Planı'!$L$6:$L$35,10-5)&lt;=('Özet'!$C$6+7*42)+6,INDEX('İzin Planı'!$M$6:$M$35,10-5)&gt;=('Özet'!$C$6+7*42))),"İ",""))</f>
      </c>
      <c r="AT10" s="13">
        <f>IF(INDEX('İzin Planı'!$C$6:$C$35,10-5)="","",IF(OR(AND(N(INDEX('İzin Planı'!$F$6:$F$35,10-5))&gt;0,INDEX('İzin Planı'!$F$6:$F$35,10-5)&lt;=('Özet'!$C$6+7*43)+6,INDEX('İzin Planı'!$G$6:$G$35,10-5)&gt;=('Özet'!$C$6+7*43)),AND(N(INDEX('İzin Planı'!$I$6:$I$35,10-5))&gt;0,INDEX('İzin Planı'!$I$6:$I$35,10-5)&lt;=('Özet'!$C$6+7*43)+6,INDEX('İzin Planı'!$J$6:$J$35,10-5)&gt;=('Özet'!$C$6+7*43)),AND(N(INDEX('İzin Planı'!$L$6:$L$35,10-5))&gt;0,INDEX('İzin Planı'!$L$6:$L$35,10-5)&lt;=('Özet'!$C$6+7*43)+6,INDEX('İzin Planı'!$M$6:$M$35,10-5)&gt;=('Özet'!$C$6+7*43))),"İ",""))</f>
      </c>
      <c r="AU10" s="13">
        <f>IF(INDEX('İzin Planı'!$C$6:$C$35,10-5)="","",IF(OR(AND(N(INDEX('İzin Planı'!$F$6:$F$35,10-5))&gt;0,INDEX('İzin Planı'!$F$6:$F$35,10-5)&lt;=('Özet'!$C$6+7*44)+6,INDEX('İzin Planı'!$G$6:$G$35,10-5)&gt;=('Özet'!$C$6+7*44)),AND(N(INDEX('İzin Planı'!$I$6:$I$35,10-5))&gt;0,INDEX('İzin Planı'!$I$6:$I$35,10-5)&lt;=('Özet'!$C$6+7*44)+6,INDEX('İzin Planı'!$J$6:$J$35,10-5)&gt;=('Özet'!$C$6+7*44)),AND(N(INDEX('İzin Planı'!$L$6:$L$35,10-5))&gt;0,INDEX('İzin Planı'!$L$6:$L$35,10-5)&lt;=('Özet'!$C$6+7*44)+6,INDEX('İzin Planı'!$M$6:$M$35,10-5)&gt;=('Özet'!$C$6+7*44))),"İ",""))</f>
      </c>
      <c r="AV10" s="13">
        <f>IF(INDEX('İzin Planı'!$C$6:$C$35,10-5)="","",IF(OR(AND(N(INDEX('İzin Planı'!$F$6:$F$35,10-5))&gt;0,INDEX('İzin Planı'!$F$6:$F$35,10-5)&lt;=('Özet'!$C$6+7*45)+6,INDEX('İzin Planı'!$G$6:$G$35,10-5)&gt;=('Özet'!$C$6+7*45)),AND(N(INDEX('İzin Planı'!$I$6:$I$35,10-5))&gt;0,INDEX('İzin Planı'!$I$6:$I$35,10-5)&lt;=('Özet'!$C$6+7*45)+6,INDEX('İzin Planı'!$J$6:$J$35,10-5)&gt;=('Özet'!$C$6+7*45)),AND(N(INDEX('İzin Planı'!$L$6:$L$35,10-5))&gt;0,INDEX('İzin Planı'!$L$6:$L$35,10-5)&lt;=('Özet'!$C$6+7*45)+6,INDEX('İzin Planı'!$M$6:$M$35,10-5)&gt;=('Özet'!$C$6+7*45))),"İ",""))</f>
      </c>
      <c r="AW10" s="13">
        <f>IF(INDEX('İzin Planı'!$C$6:$C$35,10-5)="","",IF(OR(AND(N(INDEX('İzin Planı'!$F$6:$F$35,10-5))&gt;0,INDEX('İzin Planı'!$F$6:$F$35,10-5)&lt;=('Özet'!$C$6+7*46)+6,INDEX('İzin Planı'!$G$6:$G$35,10-5)&gt;=('Özet'!$C$6+7*46)),AND(N(INDEX('İzin Planı'!$I$6:$I$35,10-5))&gt;0,INDEX('İzin Planı'!$I$6:$I$35,10-5)&lt;=('Özet'!$C$6+7*46)+6,INDEX('İzin Planı'!$J$6:$J$35,10-5)&gt;=('Özet'!$C$6+7*46)),AND(N(INDEX('İzin Planı'!$L$6:$L$35,10-5))&gt;0,INDEX('İzin Planı'!$L$6:$L$35,10-5)&lt;=('Özet'!$C$6+7*46)+6,INDEX('İzin Planı'!$M$6:$M$35,10-5)&gt;=('Özet'!$C$6+7*46))),"İ",""))</f>
      </c>
      <c r="AX10" s="13">
        <f>IF(INDEX('İzin Planı'!$C$6:$C$35,10-5)="","",IF(OR(AND(N(INDEX('İzin Planı'!$F$6:$F$35,10-5))&gt;0,INDEX('İzin Planı'!$F$6:$F$35,10-5)&lt;=('Özet'!$C$6+7*47)+6,INDEX('İzin Planı'!$G$6:$G$35,10-5)&gt;=('Özet'!$C$6+7*47)),AND(N(INDEX('İzin Planı'!$I$6:$I$35,10-5))&gt;0,INDEX('İzin Planı'!$I$6:$I$35,10-5)&lt;=('Özet'!$C$6+7*47)+6,INDEX('İzin Planı'!$J$6:$J$35,10-5)&gt;=('Özet'!$C$6+7*47)),AND(N(INDEX('İzin Planı'!$L$6:$L$35,10-5))&gt;0,INDEX('İzin Planı'!$L$6:$L$35,10-5)&lt;=('Özet'!$C$6+7*47)+6,INDEX('İzin Planı'!$M$6:$M$35,10-5)&gt;=('Özet'!$C$6+7*47))),"İ",""))</f>
      </c>
      <c r="AY10" s="13">
        <f>IF(INDEX('İzin Planı'!$C$6:$C$35,10-5)="","",IF(OR(AND(N(INDEX('İzin Planı'!$F$6:$F$35,10-5))&gt;0,INDEX('İzin Planı'!$F$6:$F$35,10-5)&lt;=('Özet'!$C$6+7*48)+6,INDEX('İzin Planı'!$G$6:$G$35,10-5)&gt;=('Özet'!$C$6+7*48)),AND(N(INDEX('İzin Planı'!$I$6:$I$35,10-5))&gt;0,INDEX('İzin Planı'!$I$6:$I$35,10-5)&lt;=('Özet'!$C$6+7*48)+6,INDEX('İzin Planı'!$J$6:$J$35,10-5)&gt;=('Özet'!$C$6+7*48)),AND(N(INDEX('İzin Planı'!$L$6:$L$35,10-5))&gt;0,INDEX('İzin Planı'!$L$6:$L$35,10-5)&lt;=('Özet'!$C$6+7*48)+6,INDEX('İzin Planı'!$M$6:$M$35,10-5)&gt;=('Özet'!$C$6+7*48))),"İ",""))</f>
      </c>
      <c r="AZ10" s="13">
        <f>IF(INDEX('İzin Planı'!$C$6:$C$35,10-5)="","",IF(OR(AND(N(INDEX('İzin Planı'!$F$6:$F$35,10-5))&gt;0,INDEX('İzin Planı'!$F$6:$F$35,10-5)&lt;=('Özet'!$C$6+7*49)+6,INDEX('İzin Planı'!$G$6:$G$35,10-5)&gt;=('Özet'!$C$6+7*49)),AND(N(INDEX('İzin Planı'!$I$6:$I$35,10-5))&gt;0,INDEX('İzin Planı'!$I$6:$I$35,10-5)&lt;=('Özet'!$C$6+7*49)+6,INDEX('İzin Planı'!$J$6:$J$35,10-5)&gt;=('Özet'!$C$6+7*49)),AND(N(INDEX('İzin Planı'!$L$6:$L$35,10-5))&gt;0,INDEX('İzin Planı'!$L$6:$L$35,10-5)&lt;=('Özet'!$C$6+7*49)+6,INDEX('İzin Planı'!$M$6:$M$35,10-5)&gt;=('Özet'!$C$6+7*49))),"İ",""))</f>
      </c>
      <c r="BA10" s="13">
        <f>IF(INDEX('İzin Planı'!$C$6:$C$35,10-5)="","",IF(OR(AND(N(INDEX('İzin Planı'!$F$6:$F$35,10-5))&gt;0,INDEX('İzin Planı'!$F$6:$F$35,10-5)&lt;=('Özet'!$C$6+7*50)+6,INDEX('İzin Planı'!$G$6:$G$35,10-5)&gt;=('Özet'!$C$6+7*50)),AND(N(INDEX('İzin Planı'!$I$6:$I$35,10-5))&gt;0,INDEX('İzin Planı'!$I$6:$I$35,10-5)&lt;=('Özet'!$C$6+7*50)+6,INDEX('İzin Planı'!$J$6:$J$35,10-5)&gt;=('Özet'!$C$6+7*50)),AND(N(INDEX('İzin Planı'!$L$6:$L$35,10-5))&gt;0,INDEX('İzin Planı'!$L$6:$L$35,10-5)&lt;=('Özet'!$C$6+7*50)+6,INDEX('İzin Planı'!$M$6:$M$35,10-5)&gt;=('Özet'!$C$6+7*50))),"İ",""))</f>
      </c>
      <c r="BB10" s="13">
        <f>IF(INDEX('İzin Planı'!$C$6:$C$35,10-5)="","",IF(OR(AND(N(INDEX('İzin Planı'!$F$6:$F$35,10-5))&gt;0,INDEX('İzin Planı'!$F$6:$F$35,10-5)&lt;=('Özet'!$C$6+7*51)+6,INDEX('İzin Planı'!$G$6:$G$35,10-5)&gt;=('Özet'!$C$6+7*51)),AND(N(INDEX('İzin Planı'!$I$6:$I$35,10-5))&gt;0,INDEX('İzin Planı'!$I$6:$I$35,10-5)&lt;=('Özet'!$C$6+7*51)+6,INDEX('İzin Planı'!$J$6:$J$35,10-5)&gt;=('Özet'!$C$6+7*51)),AND(N(INDEX('İzin Planı'!$L$6:$L$35,10-5))&gt;0,INDEX('İzin Planı'!$L$6:$L$35,10-5)&lt;=('Özet'!$C$6+7*51)+6,INDEX('İzin Planı'!$M$6:$M$35,10-5)&gt;=('Özet'!$C$6+7*51))),"İ",""))</f>
      </c>
      <c r="BC10" s="13">
        <f>IF(INDEX('İzin Planı'!$C$6:$C$35,10-5)="","",IF(OR(AND(N(INDEX('İzin Planı'!$F$6:$F$35,10-5))&gt;0,INDEX('İzin Planı'!$F$6:$F$35,10-5)&lt;=('Özet'!$C$6+7*52)+6,INDEX('İzin Planı'!$G$6:$G$35,10-5)&gt;=('Özet'!$C$6+7*52)),AND(N(INDEX('İzin Planı'!$I$6:$I$35,10-5))&gt;0,INDEX('İzin Planı'!$I$6:$I$35,10-5)&lt;=('Özet'!$C$6+7*52)+6,INDEX('İzin Planı'!$J$6:$J$35,10-5)&gt;=('Özet'!$C$6+7*52)),AND(N(INDEX('İzin Planı'!$L$6:$L$35,10-5))&gt;0,INDEX('İzin Planı'!$L$6:$L$35,10-5)&lt;=('Özet'!$C$6+7*52)+6,INDEX('İzin Planı'!$M$6:$M$35,10-5)&gt;=('Özet'!$C$6+7*52))),"İ",""))</f>
      </c>
    </row>
    <row r="11" ht="18" customHeight="1" spans="1:55" x14ac:dyDescent="0.25">
      <c r="A11" s="6">
        <v>6</v>
      </c>
      <c r="B11" s="13">
        <f>IF(INDEX('İzin Planı'!$C$6:$C$35,11-5)="","",INDEX('İzin Planı'!$C$6:$C$35,11-5))</f>
      </c>
      <c r="C11" s="13">
        <f>IF(INDEX('İzin Planı'!$C$6:$C$35,11-5)="","",IF(OR(AND(N(INDEX('İzin Planı'!$F$6:$F$35,11-5))&gt;0,INDEX('İzin Planı'!$F$6:$F$35,11-5)&lt;=('Özet'!$C$6+7*0)+6,INDEX('İzin Planı'!$G$6:$G$35,11-5)&gt;=('Özet'!$C$6+7*0)),AND(N(INDEX('İzin Planı'!$I$6:$I$35,11-5))&gt;0,INDEX('İzin Planı'!$I$6:$I$35,11-5)&lt;=('Özet'!$C$6+7*0)+6,INDEX('İzin Planı'!$J$6:$J$35,11-5)&gt;=('Özet'!$C$6+7*0)),AND(N(INDEX('İzin Planı'!$L$6:$L$35,11-5))&gt;0,INDEX('İzin Planı'!$L$6:$L$35,11-5)&lt;=('Özet'!$C$6+7*0)+6,INDEX('İzin Planı'!$M$6:$M$35,11-5)&gt;=('Özet'!$C$6+7*0))),"İ",""))</f>
      </c>
      <c r="D11" s="13">
        <f>IF(INDEX('İzin Planı'!$C$6:$C$35,11-5)="","",IF(OR(AND(N(INDEX('İzin Planı'!$F$6:$F$35,11-5))&gt;0,INDEX('İzin Planı'!$F$6:$F$35,11-5)&lt;=('Özet'!$C$6+7*1)+6,INDEX('İzin Planı'!$G$6:$G$35,11-5)&gt;=('Özet'!$C$6+7*1)),AND(N(INDEX('İzin Planı'!$I$6:$I$35,11-5))&gt;0,INDEX('İzin Planı'!$I$6:$I$35,11-5)&lt;=('Özet'!$C$6+7*1)+6,INDEX('İzin Planı'!$J$6:$J$35,11-5)&gt;=('Özet'!$C$6+7*1)),AND(N(INDEX('İzin Planı'!$L$6:$L$35,11-5))&gt;0,INDEX('İzin Planı'!$L$6:$L$35,11-5)&lt;=('Özet'!$C$6+7*1)+6,INDEX('İzin Planı'!$M$6:$M$35,11-5)&gt;=('Özet'!$C$6+7*1))),"İ",""))</f>
      </c>
      <c r="E11" s="13">
        <f>IF(INDEX('İzin Planı'!$C$6:$C$35,11-5)="","",IF(OR(AND(N(INDEX('İzin Planı'!$F$6:$F$35,11-5))&gt;0,INDEX('İzin Planı'!$F$6:$F$35,11-5)&lt;=('Özet'!$C$6+7*2)+6,INDEX('İzin Planı'!$G$6:$G$35,11-5)&gt;=('Özet'!$C$6+7*2)),AND(N(INDEX('İzin Planı'!$I$6:$I$35,11-5))&gt;0,INDEX('İzin Planı'!$I$6:$I$35,11-5)&lt;=('Özet'!$C$6+7*2)+6,INDEX('İzin Planı'!$J$6:$J$35,11-5)&gt;=('Özet'!$C$6+7*2)),AND(N(INDEX('İzin Planı'!$L$6:$L$35,11-5))&gt;0,INDEX('İzin Planı'!$L$6:$L$35,11-5)&lt;=('Özet'!$C$6+7*2)+6,INDEX('İzin Planı'!$M$6:$M$35,11-5)&gt;=('Özet'!$C$6+7*2))),"İ",""))</f>
      </c>
      <c r="F11" s="13">
        <f>IF(INDEX('İzin Planı'!$C$6:$C$35,11-5)="","",IF(OR(AND(N(INDEX('İzin Planı'!$F$6:$F$35,11-5))&gt;0,INDEX('İzin Planı'!$F$6:$F$35,11-5)&lt;=('Özet'!$C$6+7*3)+6,INDEX('İzin Planı'!$G$6:$G$35,11-5)&gt;=('Özet'!$C$6+7*3)),AND(N(INDEX('İzin Planı'!$I$6:$I$35,11-5))&gt;0,INDEX('İzin Planı'!$I$6:$I$35,11-5)&lt;=('Özet'!$C$6+7*3)+6,INDEX('İzin Planı'!$J$6:$J$35,11-5)&gt;=('Özet'!$C$6+7*3)),AND(N(INDEX('İzin Planı'!$L$6:$L$35,11-5))&gt;0,INDEX('İzin Planı'!$L$6:$L$35,11-5)&lt;=('Özet'!$C$6+7*3)+6,INDEX('İzin Planı'!$M$6:$M$35,11-5)&gt;=('Özet'!$C$6+7*3))),"İ",""))</f>
      </c>
      <c r="G11" s="13">
        <f>IF(INDEX('İzin Planı'!$C$6:$C$35,11-5)="","",IF(OR(AND(N(INDEX('İzin Planı'!$F$6:$F$35,11-5))&gt;0,INDEX('İzin Planı'!$F$6:$F$35,11-5)&lt;=('Özet'!$C$6+7*4)+6,INDEX('İzin Planı'!$G$6:$G$35,11-5)&gt;=('Özet'!$C$6+7*4)),AND(N(INDEX('İzin Planı'!$I$6:$I$35,11-5))&gt;0,INDEX('İzin Planı'!$I$6:$I$35,11-5)&lt;=('Özet'!$C$6+7*4)+6,INDEX('İzin Planı'!$J$6:$J$35,11-5)&gt;=('Özet'!$C$6+7*4)),AND(N(INDEX('İzin Planı'!$L$6:$L$35,11-5))&gt;0,INDEX('İzin Planı'!$L$6:$L$35,11-5)&lt;=('Özet'!$C$6+7*4)+6,INDEX('İzin Planı'!$M$6:$M$35,11-5)&gt;=('Özet'!$C$6+7*4))),"İ",""))</f>
      </c>
      <c r="H11" s="13">
        <f>IF(INDEX('İzin Planı'!$C$6:$C$35,11-5)="","",IF(OR(AND(N(INDEX('İzin Planı'!$F$6:$F$35,11-5))&gt;0,INDEX('İzin Planı'!$F$6:$F$35,11-5)&lt;=('Özet'!$C$6+7*5)+6,INDEX('İzin Planı'!$G$6:$G$35,11-5)&gt;=('Özet'!$C$6+7*5)),AND(N(INDEX('İzin Planı'!$I$6:$I$35,11-5))&gt;0,INDEX('İzin Planı'!$I$6:$I$35,11-5)&lt;=('Özet'!$C$6+7*5)+6,INDEX('İzin Planı'!$J$6:$J$35,11-5)&gt;=('Özet'!$C$6+7*5)),AND(N(INDEX('İzin Planı'!$L$6:$L$35,11-5))&gt;0,INDEX('İzin Planı'!$L$6:$L$35,11-5)&lt;=('Özet'!$C$6+7*5)+6,INDEX('İzin Planı'!$M$6:$M$35,11-5)&gt;=('Özet'!$C$6+7*5))),"İ",""))</f>
      </c>
      <c r="I11" s="13">
        <f>IF(INDEX('İzin Planı'!$C$6:$C$35,11-5)="","",IF(OR(AND(N(INDEX('İzin Planı'!$F$6:$F$35,11-5))&gt;0,INDEX('İzin Planı'!$F$6:$F$35,11-5)&lt;=('Özet'!$C$6+7*6)+6,INDEX('İzin Planı'!$G$6:$G$35,11-5)&gt;=('Özet'!$C$6+7*6)),AND(N(INDEX('İzin Planı'!$I$6:$I$35,11-5))&gt;0,INDEX('İzin Planı'!$I$6:$I$35,11-5)&lt;=('Özet'!$C$6+7*6)+6,INDEX('İzin Planı'!$J$6:$J$35,11-5)&gt;=('Özet'!$C$6+7*6)),AND(N(INDEX('İzin Planı'!$L$6:$L$35,11-5))&gt;0,INDEX('İzin Planı'!$L$6:$L$35,11-5)&lt;=('Özet'!$C$6+7*6)+6,INDEX('İzin Planı'!$M$6:$M$35,11-5)&gt;=('Özet'!$C$6+7*6))),"İ",""))</f>
      </c>
      <c r="J11" s="13">
        <f>IF(INDEX('İzin Planı'!$C$6:$C$35,11-5)="","",IF(OR(AND(N(INDEX('İzin Planı'!$F$6:$F$35,11-5))&gt;0,INDEX('İzin Planı'!$F$6:$F$35,11-5)&lt;=('Özet'!$C$6+7*7)+6,INDEX('İzin Planı'!$G$6:$G$35,11-5)&gt;=('Özet'!$C$6+7*7)),AND(N(INDEX('İzin Planı'!$I$6:$I$35,11-5))&gt;0,INDEX('İzin Planı'!$I$6:$I$35,11-5)&lt;=('Özet'!$C$6+7*7)+6,INDEX('İzin Planı'!$J$6:$J$35,11-5)&gt;=('Özet'!$C$6+7*7)),AND(N(INDEX('İzin Planı'!$L$6:$L$35,11-5))&gt;0,INDEX('İzin Planı'!$L$6:$L$35,11-5)&lt;=('Özet'!$C$6+7*7)+6,INDEX('İzin Planı'!$M$6:$M$35,11-5)&gt;=('Özet'!$C$6+7*7))),"İ",""))</f>
      </c>
      <c r="K11" s="13">
        <f>IF(INDEX('İzin Planı'!$C$6:$C$35,11-5)="","",IF(OR(AND(N(INDEX('İzin Planı'!$F$6:$F$35,11-5))&gt;0,INDEX('İzin Planı'!$F$6:$F$35,11-5)&lt;=('Özet'!$C$6+7*8)+6,INDEX('İzin Planı'!$G$6:$G$35,11-5)&gt;=('Özet'!$C$6+7*8)),AND(N(INDEX('İzin Planı'!$I$6:$I$35,11-5))&gt;0,INDEX('İzin Planı'!$I$6:$I$35,11-5)&lt;=('Özet'!$C$6+7*8)+6,INDEX('İzin Planı'!$J$6:$J$35,11-5)&gt;=('Özet'!$C$6+7*8)),AND(N(INDEX('İzin Planı'!$L$6:$L$35,11-5))&gt;0,INDEX('İzin Planı'!$L$6:$L$35,11-5)&lt;=('Özet'!$C$6+7*8)+6,INDEX('İzin Planı'!$M$6:$M$35,11-5)&gt;=('Özet'!$C$6+7*8))),"İ",""))</f>
      </c>
      <c r="L11" s="13">
        <f>IF(INDEX('İzin Planı'!$C$6:$C$35,11-5)="","",IF(OR(AND(N(INDEX('İzin Planı'!$F$6:$F$35,11-5))&gt;0,INDEX('İzin Planı'!$F$6:$F$35,11-5)&lt;=('Özet'!$C$6+7*9)+6,INDEX('İzin Planı'!$G$6:$G$35,11-5)&gt;=('Özet'!$C$6+7*9)),AND(N(INDEX('İzin Planı'!$I$6:$I$35,11-5))&gt;0,INDEX('İzin Planı'!$I$6:$I$35,11-5)&lt;=('Özet'!$C$6+7*9)+6,INDEX('İzin Planı'!$J$6:$J$35,11-5)&gt;=('Özet'!$C$6+7*9)),AND(N(INDEX('İzin Planı'!$L$6:$L$35,11-5))&gt;0,INDEX('İzin Planı'!$L$6:$L$35,11-5)&lt;=('Özet'!$C$6+7*9)+6,INDEX('İzin Planı'!$M$6:$M$35,11-5)&gt;=('Özet'!$C$6+7*9))),"İ",""))</f>
      </c>
      <c r="M11" s="13">
        <f>IF(INDEX('İzin Planı'!$C$6:$C$35,11-5)="","",IF(OR(AND(N(INDEX('İzin Planı'!$F$6:$F$35,11-5))&gt;0,INDEX('İzin Planı'!$F$6:$F$35,11-5)&lt;=('Özet'!$C$6+7*10)+6,INDEX('İzin Planı'!$G$6:$G$35,11-5)&gt;=('Özet'!$C$6+7*10)),AND(N(INDEX('İzin Planı'!$I$6:$I$35,11-5))&gt;0,INDEX('İzin Planı'!$I$6:$I$35,11-5)&lt;=('Özet'!$C$6+7*10)+6,INDEX('İzin Planı'!$J$6:$J$35,11-5)&gt;=('Özet'!$C$6+7*10)),AND(N(INDEX('İzin Planı'!$L$6:$L$35,11-5))&gt;0,INDEX('İzin Planı'!$L$6:$L$35,11-5)&lt;=('Özet'!$C$6+7*10)+6,INDEX('İzin Planı'!$M$6:$M$35,11-5)&gt;=('Özet'!$C$6+7*10))),"İ",""))</f>
      </c>
      <c r="N11" s="13">
        <f>IF(INDEX('İzin Planı'!$C$6:$C$35,11-5)="","",IF(OR(AND(N(INDEX('İzin Planı'!$F$6:$F$35,11-5))&gt;0,INDEX('İzin Planı'!$F$6:$F$35,11-5)&lt;=('Özet'!$C$6+7*11)+6,INDEX('İzin Planı'!$G$6:$G$35,11-5)&gt;=('Özet'!$C$6+7*11)),AND(N(INDEX('İzin Planı'!$I$6:$I$35,11-5))&gt;0,INDEX('İzin Planı'!$I$6:$I$35,11-5)&lt;=('Özet'!$C$6+7*11)+6,INDEX('İzin Planı'!$J$6:$J$35,11-5)&gt;=('Özet'!$C$6+7*11)),AND(N(INDEX('İzin Planı'!$L$6:$L$35,11-5))&gt;0,INDEX('İzin Planı'!$L$6:$L$35,11-5)&lt;=('Özet'!$C$6+7*11)+6,INDEX('İzin Planı'!$M$6:$M$35,11-5)&gt;=('Özet'!$C$6+7*11))),"İ",""))</f>
      </c>
      <c r="O11" s="13">
        <f>IF(INDEX('İzin Planı'!$C$6:$C$35,11-5)="","",IF(OR(AND(N(INDEX('İzin Planı'!$F$6:$F$35,11-5))&gt;0,INDEX('İzin Planı'!$F$6:$F$35,11-5)&lt;=('Özet'!$C$6+7*12)+6,INDEX('İzin Planı'!$G$6:$G$35,11-5)&gt;=('Özet'!$C$6+7*12)),AND(N(INDEX('İzin Planı'!$I$6:$I$35,11-5))&gt;0,INDEX('İzin Planı'!$I$6:$I$35,11-5)&lt;=('Özet'!$C$6+7*12)+6,INDEX('İzin Planı'!$J$6:$J$35,11-5)&gt;=('Özet'!$C$6+7*12)),AND(N(INDEX('İzin Planı'!$L$6:$L$35,11-5))&gt;0,INDEX('İzin Planı'!$L$6:$L$35,11-5)&lt;=('Özet'!$C$6+7*12)+6,INDEX('İzin Planı'!$M$6:$M$35,11-5)&gt;=('Özet'!$C$6+7*12))),"İ",""))</f>
      </c>
      <c r="P11" s="13">
        <f>IF(INDEX('İzin Planı'!$C$6:$C$35,11-5)="","",IF(OR(AND(N(INDEX('İzin Planı'!$F$6:$F$35,11-5))&gt;0,INDEX('İzin Planı'!$F$6:$F$35,11-5)&lt;=('Özet'!$C$6+7*13)+6,INDEX('İzin Planı'!$G$6:$G$35,11-5)&gt;=('Özet'!$C$6+7*13)),AND(N(INDEX('İzin Planı'!$I$6:$I$35,11-5))&gt;0,INDEX('İzin Planı'!$I$6:$I$35,11-5)&lt;=('Özet'!$C$6+7*13)+6,INDEX('İzin Planı'!$J$6:$J$35,11-5)&gt;=('Özet'!$C$6+7*13)),AND(N(INDEX('İzin Planı'!$L$6:$L$35,11-5))&gt;0,INDEX('İzin Planı'!$L$6:$L$35,11-5)&lt;=('Özet'!$C$6+7*13)+6,INDEX('İzin Planı'!$M$6:$M$35,11-5)&gt;=('Özet'!$C$6+7*13))),"İ",""))</f>
      </c>
      <c r="Q11" s="13">
        <f>IF(INDEX('İzin Planı'!$C$6:$C$35,11-5)="","",IF(OR(AND(N(INDEX('İzin Planı'!$F$6:$F$35,11-5))&gt;0,INDEX('İzin Planı'!$F$6:$F$35,11-5)&lt;=('Özet'!$C$6+7*14)+6,INDEX('İzin Planı'!$G$6:$G$35,11-5)&gt;=('Özet'!$C$6+7*14)),AND(N(INDEX('İzin Planı'!$I$6:$I$35,11-5))&gt;0,INDEX('İzin Planı'!$I$6:$I$35,11-5)&lt;=('Özet'!$C$6+7*14)+6,INDEX('İzin Planı'!$J$6:$J$35,11-5)&gt;=('Özet'!$C$6+7*14)),AND(N(INDEX('İzin Planı'!$L$6:$L$35,11-5))&gt;0,INDEX('İzin Planı'!$L$6:$L$35,11-5)&lt;=('Özet'!$C$6+7*14)+6,INDEX('İzin Planı'!$M$6:$M$35,11-5)&gt;=('Özet'!$C$6+7*14))),"İ",""))</f>
      </c>
      <c r="R11" s="13">
        <f>IF(INDEX('İzin Planı'!$C$6:$C$35,11-5)="","",IF(OR(AND(N(INDEX('İzin Planı'!$F$6:$F$35,11-5))&gt;0,INDEX('İzin Planı'!$F$6:$F$35,11-5)&lt;=('Özet'!$C$6+7*15)+6,INDEX('İzin Planı'!$G$6:$G$35,11-5)&gt;=('Özet'!$C$6+7*15)),AND(N(INDEX('İzin Planı'!$I$6:$I$35,11-5))&gt;0,INDEX('İzin Planı'!$I$6:$I$35,11-5)&lt;=('Özet'!$C$6+7*15)+6,INDEX('İzin Planı'!$J$6:$J$35,11-5)&gt;=('Özet'!$C$6+7*15)),AND(N(INDEX('İzin Planı'!$L$6:$L$35,11-5))&gt;0,INDEX('İzin Planı'!$L$6:$L$35,11-5)&lt;=('Özet'!$C$6+7*15)+6,INDEX('İzin Planı'!$M$6:$M$35,11-5)&gt;=('Özet'!$C$6+7*15))),"İ",""))</f>
      </c>
      <c r="S11" s="13">
        <f>IF(INDEX('İzin Planı'!$C$6:$C$35,11-5)="","",IF(OR(AND(N(INDEX('İzin Planı'!$F$6:$F$35,11-5))&gt;0,INDEX('İzin Planı'!$F$6:$F$35,11-5)&lt;=('Özet'!$C$6+7*16)+6,INDEX('İzin Planı'!$G$6:$G$35,11-5)&gt;=('Özet'!$C$6+7*16)),AND(N(INDEX('İzin Planı'!$I$6:$I$35,11-5))&gt;0,INDEX('İzin Planı'!$I$6:$I$35,11-5)&lt;=('Özet'!$C$6+7*16)+6,INDEX('İzin Planı'!$J$6:$J$35,11-5)&gt;=('Özet'!$C$6+7*16)),AND(N(INDEX('İzin Planı'!$L$6:$L$35,11-5))&gt;0,INDEX('İzin Planı'!$L$6:$L$35,11-5)&lt;=('Özet'!$C$6+7*16)+6,INDEX('İzin Planı'!$M$6:$M$35,11-5)&gt;=('Özet'!$C$6+7*16))),"İ",""))</f>
      </c>
      <c r="T11" s="13">
        <f>IF(INDEX('İzin Planı'!$C$6:$C$35,11-5)="","",IF(OR(AND(N(INDEX('İzin Planı'!$F$6:$F$35,11-5))&gt;0,INDEX('İzin Planı'!$F$6:$F$35,11-5)&lt;=('Özet'!$C$6+7*17)+6,INDEX('İzin Planı'!$G$6:$G$35,11-5)&gt;=('Özet'!$C$6+7*17)),AND(N(INDEX('İzin Planı'!$I$6:$I$35,11-5))&gt;0,INDEX('İzin Planı'!$I$6:$I$35,11-5)&lt;=('Özet'!$C$6+7*17)+6,INDEX('İzin Planı'!$J$6:$J$35,11-5)&gt;=('Özet'!$C$6+7*17)),AND(N(INDEX('İzin Planı'!$L$6:$L$35,11-5))&gt;0,INDEX('İzin Planı'!$L$6:$L$35,11-5)&lt;=('Özet'!$C$6+7*17)+6,INDEX('İzin Planı'!$M$6:$M$35,11-5)&gt;=('Özet'!$C$6+7*17))),"İ",""))</f>
      </c>
      <c r="U11" s="13">
        <f>IF(INDEX('İzin Planı'!$C$6:$C$35,11-5)="","",IF(OR(AND(N(INDEX('İzin Planı'!$F$6:$F$35,11-5))&gt;0,INDEX('İzin Planı'!$F$6:$F$35,11-5)&lt;=('Özet'!$C$6+7*18)+6,INDEX('İzin Planı'!$G$6:$G$35,11-5)&gt;=('Özet'!$C$6+7*18)),AND(N(INDEX('İzin Planı'!$I$6:$I$35,11-5))&gt;0,INDEX('İzin Planı'!$I$6:$I$35,11-5)&lt;=('Özet'!$C$6+7*18)+6,INDEX('İzin Planı'!$J$6:$J$35,11-5)&gt;=('Özet'!$C$6+7*18)),AND(N(INDEX('İzin Planı'!$L$6:$L$35,11-5))&gt;0,INDEX('İzin Planı'!$L$6:$L$35,11-5)&lt;=('Özet'!$C$6+7*18)+6,INDEX('İzin Planı'!$M$6:$M$35,11-5)&gt;=('Özet'!$C$6+7*18))),"İ",""))</f>
      </c>
      <c r="V11" s="13">
        <f>IF(INDEX('İzin Planı'!$C$6:$C$35,11-5)="","",IF(OR(AND(N(INDEX('İzin Planı'!$F$6:$F$35,11-5))&gt;0,INDEX('İzin Planı'!$F$6:$F$35,11-5)&lt;=('Özet'!$C$6+7*19)+6,INDEX('İzin Planı'!$G$6:$G$35,11-5)&gt;=('Özet'!$C$6+7*19)),AND(N(INDEX('İzin Planı'!$I$6:$I$35,11-5))&gt;0,INDEX('İzin Planı'!$I$6:$I$35,11-5)&lt;=('Özet'!$C$6+7*19)+6,INDEX('İzin Planı'!$J$6:$J$35,11-5)&gt;=('Özet'!$C$6+7*19)),AND(N(INDEX('İzin Planı'!$L$6:$L$35,11-5))&gt;0,INDEX('İzin Planı'!$L$6:$L$35,11-5)&lt;=('Özet'!$C$6+7*19)+6,INDEX('İzin Planı'!$M$6:$M$35,11-5)&gt;=('Özet'!$C$6+7*19))),"İ",""))</f>
      </c>
      <c r="W11" s="13">
        <f>IF(INDEX('İzin Planı'!$C$6:$C$35,11-5)="","",IF(OR(AND(N(INDEX('İzin Planı'!$F$6:$F$35,11-5))&gt;0,INDEX('İzin Planı'!$F$6:$F$35,11-5)&lt;=('Özet'!$C$6+7*20)+6,INDEX('İzin Planı'!$G$6:$G$35,11-5)&gt;=('Özet'!$C$6+7*20)),AND(N(INDEX('İzin Planı'!$I$6:$I$35,11-5))&gt;0,INDEX('İzin Planı'!$I$6:$I$35,11-5)&lt;=('Özet'!$C$6+7*20)+6,INDEX('İzin Planı'!$J$6:$J$35,11-5)&gt;=('Özet'!$C$6+7*20)),AND(N(INDEX('İzin Planı'!$L$6:$L$35,11-5))&gt;0,INDEX('İzin Planı'!$L$6:$L$35,11-5)&lt;=('Özet'!$C$6+7*20)+6,INDEX('İzin Planı'!$M$6:$M$35,11-5)&gt;=('Özet'!$C$6+7*20))),"İ",""))</f>
      </c>
      <c r="X11" s="13">
        <f>IF(INDEX('İzin Planı'!$C$6:$C$35,11-5)="","",IF(OR(AND(N(INDEX('İzin Planı'!$F$6:$F$35,11-5))&gt;0,INDEX('İzin Planı'!$F$6:$F$35,11-5)&lt;=('Özet'!$C$6+7*21)+6,INDEX('İzin Planı'!$G$6:$G$35,11-5)&gt;=('Özet'!$C$6+7*21)),AND(N(INDEX('İzin Planı'!$I$6:$I$35,11-5))&gt;0,INDEX('İzin Planı'!$I$6:$I$35,11-5)&lt;=('Özet'!$C$6+7*21)+6,INDEX('İzin Planı'!$J$6:$J$35,11-5)&gt;=('Özet'!$C$6+7*21)),AND(N(INDEX('İzin Planı'!$L$6:$L$35,11-5))&gt;0,INDEX('İzin Planı'!$L$6:$L$35,11-5)&lt;=('Özet'!$C$6+7*21)+6,INDEX('İzin Planı'!$M$6:$M$35,11-5)&gt;=('Özet'!$C$6+7*21))),"İ",""))</f>
      </c>
      <c r="Y11" s="13">
        <f>IF(INDEX('İzin Planı'!$C$6:$C$35,11-5)="","",IF(OR(AND(N(INDEX('İzin Planı'!$F$6:$F$35,11-5))&gt;0,INDEX('İzin Planı'!$F$6:$F$35,11-5)&lt;=('Özet'!$C$6+7*22)+6,INDEX('İzin Planı'!$G$6:$G$35,11-5)&gt;=('Özet'!$C$6+7*22)),AND(N(INDEX('İzin Planı'!$I$6:$I$35,11-5))&gt;0,INDEX('İzin Planı'!$I$6:$I$35,11-5)&lt;=('Özet'!$C$6+7*22)+6,INDEX('İzin Planı'!$J$6:$J$35,11-5)&gt;=('Özet'!$C$6+7*22)),AND(N(INDEX('İzin Planı'!$L$6:$L$35,11-5))&gt;0,INDEX('İzin Planı'!$L$6:$L$35,11-5)&lt;=('Özet'!$C$6+7*22)+6,INDEX('İzin Planı'!$M$6:$M$35,11-5)&gt;=('Özet'!$C$6+7*22))),"İ",""))</f>
      </c>
      <c r="Z11" s="13">
        <f>IF(INDEX('İzin Planı'!$C$6:$C$35,11-5)="","",IF(OR(AND(N(INDEX('İzin Planı'!$F$6:$F$35,11-5))&gt;0,INDEX('İzin Planı'!$F$6:$F$35,11-5)&lt;=('Özet'!$C$6+7*23)+6,INDEX('İzin Planı'!$G$6:$G$35,11-5)&gt;=('Özet'!$C$6+7*23)),AND(N(INDEX('İzin Planı'!$I$6:$I$35,11-5))&gt;0,INDEX('İzin Planı'!$I$6:$I$35,11-5)&lt;=('Özet'!$C$6+7*23)+6,INDEX('İzin Planı'!$J$6:$J$35,11-5)&gt;=('Özet'!$C$6+7*23)),AND(N(INDEX('İzin Planı'!$L$6:$L$35,11-5))&gt;0,INDEX('İzin Planı'!$L$6:$L$35,11-5)&lt;=('Özet'!$C$6+7*23)+6,INDEX('İzin Planı'!$M$6:$M$35,11-5)&gt;=('Özet'!$C$6+7*23))),"İ",""))</f>
      </c>
      <c r="AA11" s="13">
        <f>IF(INDEX('İzin Planı'!$C$6:$C$35,11-5)="","",IF(OR(AND(N(INDEX('İzin Planı'!$F$6:$F$35,11-5))&gt;0,INDEX('İzin Planı'!$F$6:$F$35,11-5)&lt;=('Özet'!$C$6+7*24)+6,INDEX('İzin Planı'!$G$6:$G$35,11-5)&gt;=('Özet'!$C$6+7*24)),AND(N(INDEX('İzin Planı'!$I$6:$I$35,11-5))&gt;0,INDEX('İzin Planı'!$I$6:$I$35,11-5)&lt;=('Özet'!$C$6+7*24)+6,INDEX('İzin Planı'!$J$6:$J$35,11-5)&gt;=('Özet'!$C$6+7*24)),AND(N(INDEX('İzin Planı'!$L$6:$L$35,11-5))&gt;0,INDEX('İzin Planı'!$L$6:$L$35,11-5)&lt;=('Özet'!$C$6+7*24)+6,INDEX('İzin Planı'!$M$6:$M$35,11-5)&gt;=('Özet'!$C$6+7*24))),"İ",""))</f>
      </c>
      <c r="AB11" s="13">
        <f>IF(INDEX('İzin Planı'!$C$6:$C$35,11-5)="","",IF(OR(AND(N(INDEX('İzin Planı'!$F$6:$F$35,11-5))&gt;0,INDEX('İzin Planı'!$F$6:$F$35,11-5)&lt;=('Özet'!$C$6+7*25)+6,INDEX('İzin Planı'!$G$6:$G$35,11-5)&gt;=('Özet'!$C$6+7*25)),AND(N(INDEX('İzin Planı'!$I$6:$I$35,11-5))&gt;0,INDEX('İzin Planı'!$I$6:$I$35,11-5)&lt;=('Özet'!$C$6+7*25)+6,INDEX('İzin Planı'!$J$6:$J$35,11-5)&gt;=('Özet'!$C$6+7*25)),AND(N(INDEX('İzin Planı'!$L$6:$L$35,11-5))&gt;0,INDEX('İzin Planı'!$L$6:$L$35,11-5)&lt;=('Özet'!$C$6+7*25)+6,INDEX('İzin Planı'!$M$6:$M$35,11-5)&gt;=('Özet'!$C$6+7*25))),"İ",""))</f>
      </c>
      <c r="AC11" s="13">
        <f>IF(INDEX('İzin Planı'!$C$6:$C$35,11-5)="","",IF(OR(AND(N(INDEX('İzin Planı'!$F$6:$F$35,11-5))&gt;0,INDEX('İzin Planı'!$F$6:$F$35,11-5)&lt;=('Özet'!$C$6+7*26)+6,INDEX('İzin Planı'!$G$6:$G$35,11-5)&gt;=('Özet'!$C$6+7*26)),AND(N(INDEX('İzin Planı'!$I$6:$I$35,11-5))&gt;0,INDEX('İzin Planı'!$I$6:$I$35,11-5)&lt;=('Özet'!$C$6+7*26)+6,INDEX('İzin Planı'!$J$6:$J$35,11-5)&gt;=('Özet'!$C$6+7*26)),AND(N(INDEX('İzin Planı'!$L$6:$L$35,11-5))&gt;0,INDEX('İzin Planı'!$L$6:$L$35,11-5)&lt;=('Özet'!$C$6+7*26)+6,INDEX('İzin Planı'!$M$6:$M$35,11-5)&gt;=('Özet'!$C$6+7*26))),"İ",""))</f>
      </c>
      <c r="AD11" s="13">
        <f>IF(INDEX('İzin Planı'!$C$6:$C$35,11-5)="","",IF(OR(AND(N(INDEX('İzin Planı'!$F$6:$F$35,11-5))&gt;0,INDEX('İzin Planı'!$F$6:$F$35,11-5)&lt;=('Özet'!$C$6+7*27)+6,INDEX('İzin Planı'!$G$6:$G$35,11-5)&gt;=('Özet'!$C$6+7*27)),AND(N(INDEX('İzin Planı'!$I$6:$I$35,11-5))&gt;0,INDEX('İzin Planı'!$I$6:$I$35,11-5)&lt;=('Özet'!$C$6+7*27)+6,INDEX('İzin Planı'!$J$6:$J$35,11-5)&gt;=('Özet'!$C$6+7*27)),AND(N(INDEX('İzin Planı'!$L$6:$L$35,11-5))&gt;0,INDEX('İzin Planı'!$L$6:$L$35,11-5)&lt;=('Özet'!$C$6+7*27)+6,INDEX('İzin Planı'!$M$6:$M$35,11-5)&gt;=('Özet'!$C$6+7*27))),"İ",""))</f>
      </c>
      <c r="AE11" s="13">
        <f>IF(INDEX('İzin Planı'!$C$6:$C$35,11-5)="","",IF(OR(AND(N(INDEX('İzin Planı'!$F$6:$F$35,11-5))&gt;0,INDEX('İzin Planı'!$F$6:$F$35,11-5)&lt;=('Özet'!$C$6+7*28)+6,INDEX('İzin Planı'!$G$6:$G$35,11-5)&gt;=('Özet'!$C$6+7*28)),AND(N(INDEX('İzin Planı'!$I$6:$I$35,11-5))&gt;0,INDEX('İzin Planı'!$I$6:$I$35,11-5)&lt;=('Özet'!$C$6+7*28)+6,INDEX('İzin Planı'!$J$6:$J$35,11-5)&gt;=('Özet'!$C$6+7*28)),AND(N(INDEX('İzin Planı'!$L$6:$L$35,11-5))&gt;0,INDEX('İzin Planı'!$L$6:$L$35,11-5)&lt;=('Özet'!$C$6+7*28)+6,INDEX('İzin Planı'!$M$6:$M$35,11-5)&gt;=('Özet'!$C$6+7*28))),"İ",""))</f>
      </c>
      <c r="AF11" s="13">
        <f>IF(INDEX('İzin Planı'!$C$6:$C$35,11-5)="","",IF(OR(AND(N(INDEX('İzin Planı'!$F$6:$F$35,11-5))&gt;0,INDEX('İzin Planı'!$F$6:$F$35,11-5)&lt;=('Özet'!$C$6+7*29)+6,INDEX('İzin Planı'!$G$6:$G$35,11-5)&gt;=('Özet'!$C$6+7*29)),AND(N(INDEX('İzin Planı'!$I$6:$I$35,11-5))&gt;0,INDEX('İzin Planı'!$I$6:$I$35,11-5)&lt;=('Özet'!$C$6+7*29)+6,INDEX('İzin Planı'!$J$6:$J$35,11-5)&gt;=('Özet'!$C$6+7*29)),AND(N(INDEX('İzin Planı'!$L$6:$L$35,11-5))&gt;0,INDEX('İzin Planı'!$L$6:$L$35,11-5)&lt;=('Özet'!$C$6+7*29)+6,INDEX('İzin Planı'!$M$6:$M$35,11-5)&gt;=('Özet'!$C$6+7*29))),"İ",""))</f>
      </c>
      <c r="AG11" s="13">
        <f>IF(INDEX('İzin Planı'!$C$6:$C$35,11-5)="","",IF(OR(AND(N(INDEX('İzin Planı'!$F$6:$F$35,11-5))&gt;0,INDEX('İzin Planı'!$F$6:$F$35,11-5)&lt;=('Özet'!$C$6+7*30)+6,INDEX('İzin Planı'!$G$6:$G$35,11-5)&gt;=('Özet'!$C$6+7*30)),AND(N(INDEX('İzin Planı'!$I$6:$I$35,11-5))&gt;0,INDEX('İzin Planı'!$I$6:$I$35,11-5)&lt;=('Özet'!$C$6+7*30)+6,INDEX('İzin Planı'!$J$6:$J$35,11-5)&gt;=('Özet'!$C$6+7*30)),AND(N(INDEX('İzin Planı'!$L$6:$L$35,11-5))&gt;0,INDEX('İzin Planı'!$L$6:$L$35,11-5)&lt;=('Özet'!$C$6+7*30)+6,INDEX('İzin Planı'!$M$6:$M$35,11-5)&gt;=('Özet'!$C$6+7*30))),"İ",""))</f>
      </c>
      <c r="AH11" s="13">
        <f>IF(INDEX('İzin Planı'!$C$6:$C$35,11-5)="","",IF(OR(AND(N(INDEX('İzin Planı'!$F$6:$F$35,11-5))&gt;0,INDEX('İzin Planı'!$F$6:$F$35,11-5)&lt;=('Özet'!$C$6+7*31)+6,INDEX('İzin Planı'!$G$6:$G$35,11-5)&gt;=('Özet'!$C$6+7*31)),AND(N(INDEX('İzin Planı'!$I$6:$I$35,11-5))&gt;0,INDEX('İzin Planı'!$I$6:$I$35,11-5)&lt;=('Özet'!$C$6+7*31)+6,INDEX('İzin Planı'!$J$6:$J$35,11-5)&gt;=('Özet'!$C$6+7*31)),AND(N(INDEX('İzin Planı'!$L$6:$L$35,11-5))&gt;0,INDEX('İzin Planı'!$L$6:$L$35,11-5)&lt;=('Özet'!$C$6+7*31)+6,INDEX('İzin Planı'!$M$6:$M$35,11-5)&gt;=('Özet'!$C$6+7*31))),"İ",""))</f>
      </c>
      <c r="AI11" s="13">
        <f>IF(INDEX('İzin Planı'!$C$6:$C$35,11-5)="","",IF(OR(AND(N(INDEX('İzin Planı'!$F$6:$F$35,11-5))&gt;0,INDEX('İzin Planı'!$F$6:$F$35,11-5)&lt;=('Özet'!$C$6+7*32)+6,INDEX('İzin Planı'!$G$6:$G$35,11-5)&gt;=('Özet'!$C$6+7*32)),AND(N(INDEX('İzin Planı'!$I$6:$I$35,11-5))&gt;0,INDEX('İzin Planı'!$I$6:$I$35,11-5)&lt;=('Özet'!$C$6+7*32)+6,INDEX('İzin Planı'!$J$6:$J$35,11-5)&gt;=('Özet'!$C$6+7*32)),AND(N(INDEX('İzin Planı'!$L$6:$L$35,11-5))&gt;0,INDEX('İzin Planı'!$L$6:$L$35,11-5)&lt;=('Özet'!$C$6+7*32)+6,INDEX('İzin Planı'!$M$6:$M$35,11-5)&gt;=('Özet'!$C$6+7*32))),"İ",""))</f>
      </c>
      <c r="AJ11" s="13">
        <f>IF(INDEX('İzin Planı'!$C$6:$C$35,11-5)="","",IF(OR(AND(N(INDEX('İzin Planı'!$F$6:$F$35,11-5))&gt;0,INDEX('İzin Planı'!$F$6:$F$35,11-5)&lt;=('Özet'!$C$6+7*33)+6,INDEX('İzin Planı'!$G$6:$G$35,11-5)&gt;=('Özet'!$C$6+7*33)),AND(N(INDEX('İzin Planı'!$I$6:$I$35,11-5))&gt;0,INDEX('İzin Planı'!$I$6:$I$35,11-5)&lt;=('Özet'!$C$6+7*33)+6,INDEX('İzin Planı'!$J$6:$J$35,11-5)&gt;=('Özet'!$C$6+7*33)),AND(N(INDEX('İzin Planı'!$L$6:$L$35,11-5))&gt;0,INDEX('İzin Planı'!$L$6:$L$35,11-5)&lt;=('Özet'!$C$6+7*33)+6,INDEX('İzin Planı'!$M$6:$M$35,11-5)&gt;=('Özet'!$C$6+7*33))),"İ",""))</f>
      </c>
      <c r="AK11" s="13">
        <f>IF(INDEX('İzin Planı'!$C$6:$C$35,11-5)="","",IF(OR(AND(N(INDEX('İzin Planı'!$F$6:$F$35,11-5))&gt;0,INDEX('İzin Planı'!$F$6:$F$35,11-5)&lt;=('Özet'!$C$6+7*34)+6,INDEX('İzin Planı'!$G$6:$G$35,11-5)&gt;=('Özet'!$C$6+7*34)),AND(N(INDEX('İzin Planı'!$I$6:$I$35,11-5))&gt;0,INDEX('İzin Planı'!$I$6:$I$35,11-5)&lt;=('Özet'!$C$6+7*34)+6,INDEX('İzin Planı'!$J$6:$J$35,11-5)&gt;=('Özet'!$C$6+7*34)),AND(N(INDEX('İzin Planı'!$L$6:$L$35,11-5))&gt;0,INDEX('İzin Planı'!$L$6:$L$35,11-5)&lt;=('Özet'!$C$6+7*34)+6,INDEX('İzin Planı'!$M$6:$M$35,11-5)&gt;=('Özet'!$C$6+7*34))),"İ",""))</f>
      </c>
      <c r="AL11" s="13">
        <f>IF(INDEX('İzin Planı'!$C$6:$C$35,11-5)="","",IF(OR(AND(N(INDEX('İzin Planı'!$F$6:$F$35,11-5))&gt;0,INDEX('İzin Planı'!$F$6:$F$35,11-5)&lt;=('Özet'!$C$6+7*35)+6,INDEX('İzin Planı'!$G$6:$G$35,11-5)&gt;=('Özet'!$C$6+7*35)),AND(N(INDEX('İzin Planı'!$I$6:$I$35,11-5))&gt;0,INDEX('İzin Planı'!$I$6:$I$35,11-5)&lt;=('Özet'!$C$6+7*35)+6,INDEX('İzin Planı'!$J$6:$J$35,11-5)&gt;=('Özet'!$C$6+7*35)),AND(N(INDEX('İzin Planı'!$L$6:$L$35,11-5))&gt;0,INDEX('İzin Planı'!$L$6:$L$35,11-5)&lt;=('Özet'!$C$6+7*35)+6,INDEX('İzin Planı'!$M$6:$M$35,11-5)&gt;=('Özet'!$C$6+7*35))),"İ",""))</f>
      </c>
      <c r="AM11" s="13">
        <f>IF(INDEX('İzin Planı'!$C$6:$C$35,11-5)="","",IF(OR(AND(N(INDEX('İzin Planı'!$F$6:$F$35,11-5))&gt;0,INDEX('İzin Planı'!$F$6:$F$35,11-5)&lt;=('Özet'!$C$6+7*36)+6,INDEX('İzin Planı'!$G$6:$G$35,11-5)&gt;=('Özet'!$C$6+7*36)),AND(N(INDEX('İzin Planı'!$I$6:$I$35,11-5))&gt;0,INDEX('İzin Planı'!$I$6:$I$35,11-5)&lt;=('Özet'!$C$6+7*36)+6,INDEX('İzin Planı'!$J$6:$J$35,11-5)&gt;=('Özet'!$C$6+7*36)),AND(N(INDEX('İzin Planı'!$L$6:$L$35,11-5))&gt;0,INDEX('İzin Planı'!$L$6:$L$35,11-5)&lt;=('Özet'!$C$6+7*36)+6,INDEX('İzin Planı'!$M$6:$M$35,11-5)&gt;=('Özet'!$C$6+7*36))),"İ",""))</f>
      </c>
      <c r="AN11" s="13">
        <f>IF(INDEX('İzin Planı'!$C$6:$C$35,11-5)="","",IF(OR(AND(N(INDEX('İzin Planı'!$F$6:$F$35,11-5))&gt;0,INDEX('İzin Planı'!$F$6:$F$35,11-5)&lt;=('Özet'!$C$6+7*37)+6,INDEX('İzin Planı'!$G$6:$G$35,11-5)&gt;=('Özet'!$C$6+7*37)),AND(N(INDEX('İzin Planı'!$I$6:$I$35,11-5))&gt;0,INDEX('İzin Planı'!$I$6:$I$35,11-5)&lt;=('Özet'!$C$6+7*37)+6,INDEX('İzin Planı'!$J$6:$J$35,11-5)&gt;=('Özet'!$C$6+7*37)),AND(N(INDEX('İzin Planı'!$L$6:$L$35,11-5))&gt;0,INDEX('İzin Planı'!$L$6:$L$35,11-5)&lt;=('Özet'!$C$6+7*37)+6,INDEX('İzin Planı'!$M$6:$M$35,11-5)&gt;=('Özet'!$C$6+7*37))),"İ",""))</f>
      </c>
      <c r="AO11" s="13">
        <f>IF(INDEX('İzin Planı'!$C$6:$C$35,11-5)="","",IF(OR(AND(N(INDEX('İzin Planı'!$F$6:$F$35,11-5))&gt;0,INDEX('İzin Planı'!$F$6:$F$35,11-5)&lt;=('Özet'!$C$6+7*38)+6,INDEX('İzin Planı'!$G$6:$G$35,11-5)&gt;=('Özet'!$C$6+7*38)),AND(N(INDEX('İzin Planı'!$I$6:$I$35,11-5))&gt;0,INDEX('İzin Planı'!$I$6:$I$35,11-5)&lt;=('Özet'!$C$6+7*38)+6,INDEX('İzin Planı'!$J$6:$J$35,11-5)&gt;=('Özet'!$C$6+7*38)),AND(N(INDEX('İzin Planı'!$L$6:$L$35,11-5))&gt;0,INDEX('İzin Planı'!$L$6:$L$35,11-5)&lt;=('Özet'!$C$6+7*38)+6,INDEX('İzin Planı'!$M$6:$M$35,11-5)&gt;=('Özet'!$C$6+7*38))),"İ",""))</f>
      </c>
      <c r="AP11" s="13">
        <f>IF(INDEX('İzin Planı'!$C$6:$C$35,11-5)="","",IF(OR(AND(N(INDEX('İzin Planı'!$F$6:$F$35,11-5))&gt;0,INDEX('İzin Planı'!$F$6:$F$35,11-5)&lt;=('Özet'!$C$6+7*39)+6,INDEX('İzin Planı'!$G$6:$G$35,11-5)&gt;=('Özet'!$C$6+7*39)),AND(N(INDEX('İzin Planı'!$I$6:$I$35,11-5))&gt;0,INDEX('İzin Planı'!$I$6:$I$35,11-5)&lt;=('Özet'!$C$6+7*39)+6,INDEX('İzin Planı'!$J$6:$J$35,11-5)&gt;=('Özet'!$C$6+7*39)),AND(N(INDEX('İzin Planı'!$L$6:$L$35,11-5))&gt;0,INDEX('İzin Planı'!$L$6:$L$35,11-5)&lt;=('Özet'!$C$6+7*39)+6,INDEX('İzin Planı'!$M$6:$M$35,11-5)&gt;=('Özet'!$C$6+7*39))),"İ",""))</f>
      </c>
      <c r="AQ11" s="13">
        <f>IF(INDEX('İzin Planı'!$C$6:$C$35,11-5)="","",IF(OR(AND(N(INDEX('İzin Planı'!$F$6:$F$35,11-5))&gt;0,INDEX('İzin Planı'!$F$6:$F$35,11-5)&lt;=('Özet'!$C$6+7*40)+6,INDEX('İzin Planı'!$G$6:$G$35,11-5)&gt;=('Özet'!$C$6+7*40)),AND(N(INDEX('İzin Planı'!$I$6:$I$35,11-5))&gt;0,INDEX('İzin Planı'!$I$6:$I$35,11-5)&lt;=('Özet'!$C$6+7*40)+6,INDEX('İzin Planı'!$J$6:$J$35,11-5)&gt;=('Özet'!$C$6+7*40)),AND(N(INDEX('İzin Planı'!$L$6:$L$35,11-5))&gt;0,INDEX('İzin Planı'!$L$6:$L$35,11-5)&lt;=('Özet'!$C$6+7*40)+6,INDEX('İzin Planı'!$M$6:$M$35,11-5)&gt;=('Özet'!$C$6+7*40))),"İ",""))</f>
      </c>
      <c r="AR11" s="13">
        <f>IF(INDEX('İzin Planı'!$C$6:$C$35,11-5)="","",IF(OR(AND(N(INDEX('İzin Planı'!$F$6:$F$35,11-5))&gt;0,INDEX('İzin Planı'!$F$6:$F$35,11-5)&lt;=('Özet'!$C$6+7*41)+6,INDEX('İzin Planı'!$G$6:$G$35,11-5)&gt;=('Özet'!$C$6+7*41)),AND(N(INDEX('İzin Planı'!$I$6:$I$35,11-5))&gt;0,INDEX('İzin Planı'!$I$6:$I$35,11-5)&lt;=('Özet'!$C$6+7*41)+6,INDEX('İzin Planı'!$J$6:$J$35,11-5)&gt;=('Özet'!$C$6+7*41)),AND(N(INDEX('İzin Planı'!$L$6:$L$35,11-5))&gt;0,INDEX('İzin Planı'!$L$6:$L$35,11-5)&lt;=('Özet'!$C$6+7*41)+6,INDEX('İzin Planı'!$M$6:$M$35,11-5)&gt;=('Özet'!$C$6+7*41))),"İ",""))</f>
      </c>
      <c r="AS11" s="13">
        <f>IF(INDEX('İzin Planı'!$C$6:$C$35,11-5)="","",IF(OR(AND(N(INDEX('İzin Planı'!$F$6:$F$35,11-5))&gt;0,INDEX('İzin Planı'!$F$6:$F$35,11-5)&lt;=('Özet'!$C$6+7*42)+6,INDEX('İzin Planı'!$G$6:$G$35,11-5)&gt;=('Özet'!$C$6+7*42)),AND(N(INDEX('İzin Planı'!$I$6:$I$35,11-5))&gt;0,INDEX('İzin Planı'!$I$6:$I$35,11-5)&lt;=('Özet'!$C$6+7*42)+6,INDEX('İzin Planı'!$J$6:$J$35,11-5)&gt;=('Özet'!$C$6+7*42)),AND(N(INDEX('İzin Planı'!$L$6:$L$35,11-5))&gt;0,INDEX('İzin Planı'!$L$6:$L$35,11-5)&lt;=('Özet'!$C$6+7*42)+6,INDEX('İzin Planı'!$M$6:$M$35,11-5)&gt;=('Özet'!$C$6+7*42))),"İ",""))</f>
      </c>
      <c r="AT11" s="13">
        <f>IF(INDEX('İzin Planı'!$C$6:$C$35,11-5)="","",IF(OR(AND(N(INDEX('İzin Planı'!$F$6:$F$35,11-5))&gt;0,INDEX('İzin Planı'!$F$6:$F$35,11-5)&lt;=('Özet'!$C$6+7*43)+6,INDEX('İzin Planı'!$G$6:$G$35,11-5)&gt;=('Özet'!$C$6+7*43)),AND(N(INDEX('İzin Planı'!$I$6:$I$35,11-5))&gt;0,INDEX('İzin Planı'!$I$6:$I$35,11-5)&lt;=('Özet'!$C$6+7*43)+6,INDEX('İzin Planı'!$J$6:$J$35,11-5)&gt;=('Özet'!$C$6+7*43)),AND(N(INDEX('İzin Planı'!$L$6:$L$35,11-5))&gt;0,INDEX('İzin Planı'!$L$6:$L$35,11-5)&lt;=('Özet'!$C$6+7*43)+6,INDEX('İzin Planı'!$M$6:$M$35,11-5)&gt;=('Özet'!$C$6+7*43))),"İ",""))</f>
      </c>
      <c r="AU11" s="13">
        <f>IF(INDEX('İzin Planı'!$C$6:$C$35,11-5)="","",IF(OR(AND(N(INDEX('İzin Planı'!$F$6:$F$35,11-5))&gt;0,INDEX('İzin Planı'!$F$6:$F$35,11-5)&lt;=('Özet'!$C$6+7*44)+6,INDEX('İzin Planı'!$G$6:$G$35,11-5)&gt;=('Özet'!$C$6+7*44)),AND(N(INDEX('İzin Planı'!$I$6:$I$35,11-5))&gt;0,INDEX('İzin Planı'!$I$6:$I$35,11-5)&lt;=('Özet'!$C$6+7*44)+6,INDEX('İzin Planı'!$J$6:$J$35,11-5)&gt;=('Özet'!$C$6+7*44)),AND(N(INDEX('İzin Planı'!$L$6:$L$35,11-5))&gt;0,INDEX('İzin Planı'!$L$6:$L$35,11-5)&lt;=('Özet'!$C$6+7*44)+6,INDEX('İzin Planı'!$M$6:$M$35,11-5)&gt;=('Özet'!$C$6+7*44))),"İ",""))</f>
      </c>
      <c r="AV11" s="13">
        <f>IF(INDEX('İzin Planı'!$C$6:$C$35,11-5)="","",IF(OR(AND(N(INDEX('İzin Planı'!$F$6:$F$35,11-5))&gt;0,INDEX('İzin Planı'!$F$6:$F$35,11-5)&lt;=('Özet'!$C$6+7*45)+6,INDEX('İzin Planı'!$G$6:$G$35,11-5)&gt;=('Özet'!$C$6+7*45)),AND(N(INDEX('İzin Planı'!$I$6:$I$35,11-5))&gt;0,INDEX('İzin Planı'!$I$6:$I$35,11-5)&lt;=('Özet'!$C$6+7*45)+6,INDEX('İzin Planı'!$J$6:$J$35,11-5)&gt;=('Özet'!$C$6+7*45)),AND(N(INDEX('İzin Planı'!$L$6:$L$35,11-5))&gt;0,INDEX('İzin Planı'!$L$6:$L$35,11-5)&lt;=('Özet'!$C$6+7*45)+6,INDEX('İzin Planı'!$M$6:$M$35,11-5)&gt;=('Özet'!$C$6+7*45))),"İ",""))</f>
      </c>
      <c r="AW11" s="13">
        <f>IF(INDEX('İzin Planı'!$C$6:$C$35,11-5)="","",IF(OR(AND(N(INDEX('İzin Planı'!$F$6:$F$35,11-5))&gt;0,INDEX('İzin Planı'!$F$6:$F$35,11-5)&lt;=('Özet'!$C$6+7*46)+6,INDEX('İzin Planı'!$G$6:$G$35,11-5)&gt;=('Özet'!$C$6+7*46)),AND(N(INDEX('İzin Planı'!$I$6:$I$35,11-5))&gt;0,INDEX('İzin Planı'!$I$6:$I$35,11-5)&lt;=('Özet'!$C$6+7*46)+6,INDEX('İzin Planı'!$J$6:$J$35,11-5)&gt;=('Özet'!$C$6+7*46)),AND(N(INDEX('İzin Planı'!$L$6:$L$35,11-5))&gt;0,INDEX('İzin Planı'!$L$6:$L$35,11-5)&lt;=('Özet'!$C$6+7*46)+6,INDEX('İzin Planı'!$M$6:$M$35,11-5)&gt;=('Özet'!$C$6+7*46))),"İ",""))</f>
      </c>
      <c r="AX11" s="13">
        <f>IF(INDEX('İzin Planı'!$C$6:$C$35,11-5)="","",IF(OR(AND(N(INDEX('İzin Planı'!$F$6:$F$35,11-5))&gt;0,INDEX('İzin Planı'!$F$6:$F$35,11-5)&lt;=('Özet'!$C$6+7*47)+6,INDEX('İzin Planı'!$G$6:$G$35,11-5)&gt;=('Özet'!$C$6+7*47)),AND(N(INDEX('İzin Planı'!$I$6:$I$35,11-5))&gt;0,INDEX('İzin Planı'!$I$6:$I$35,11-5)&lt;=('Özet'!$C$6+7*47)+6,INDEX('İzin Planı'!$J$6:$J$35,11-5)&gt;=('Özet'!$C$6+7*47)),AND(N(INDEX('İzin Planı'!$L$6:$L$35,11-5))&gt;0,INDEX('İzin Planı'!$L$6:$L$35,11-5)&lt;=('Özet'!$C$6+7*47)+6,INDEX('İzin Planı'!$M$6:$M$35,11-5)&gt;=('Özet'!$C$6+7*47))),"İ",""))</f>
      </c>
      <c r="AY11" s="13">
        <f>IF(INDEX('İzin Planı'!$C$6:$C$35,11-5)="","",IF(OR(AND(N(INDEX('İzin Planı'!$F$6:$F$35,11-5))&gt;0,INDEX('İzin Planı'!$F$6:$F$35,11-5)&lt;=('Özet'!$C$6+7*48)+6,INDEX('İzin Planı'!$G$6:$G$35,11-5)&gt;=('Özet'!$C$6+7*48)),AND(N(INDEX('İzin Planı'!$I$6:$I$35,11-5))&gt;0,INDEX('İzin Planı'!$I$6:$I$35,11-5)&lt;=('Özet'!$C$6+7*48)+6,INDEX('İzin Planı'!$J$6:$J$35,11-5)&gt;=('Özet'!$C$6+7*48)),AND(N(INDEX('İzin Planı'!$L$6:$L$35,11-5))&gt;0,INDEX('İzin Planı'!$L$6:$L$35,11-5)&lt;=('Özet'!$C$6+7*48)+6,INDEX('İzin Planı'!$M$6:$M$35,11-5)&gt;=('Özet'!$C$6+7*48))),"İ",""))</f>
      </c>
      <c r="AZ11" s="13">
        <f>IF(INDEX('İzin Planı'!$C$6:$C$35,11-5)="","",IF(OR(AND(N(INDEX('İzin Planı'!$F$6:$F$35,11-5))&gt;0,INDEX('İzin Planı'!$F$6:$F$35,11-5)&lt;=('Özet'!$C$6+7*49)+6,INDEX('İzin Planı'!$G$6:$G$35,11-5)&gt;=('Özet'!$C$6+7*49)),AND(N(INDEX('İzin Planı'!$I$6:$I$35,11-5))&gt;0,INDEX('İzin Planı'!$I$6:$I$35,11-5)&lt;=('Özet'!$C$6+7*49)+6,INDEX('İzin Planı'!$J$6:$J$35,11-5)&gt;=('Özet'!$C$6+7*49)),AND(N(INDEX('İzin Planı'!$L$6:$L$35,11-5))&gt;0,INDEX('İzin Planı'!$L$6:$L$35,11-5)&lt;=('Özet'!$C$6+7*49)+6,INDEX('İzin Planı'!$M$6:$M$35,11-5)&gt;=('Özet'!$C$6+7*49))),"İ",""))</f>
      </c>
      <c r="BA11" s="13">
        <f>IF(INDEX('İzin Planı'!$C$6:$C$35,11-5)="","",IF(OR(AND(N(INDEX('İzin Planı'!$F$6:$F$35,11-5))&gt;0,INDEX('İzin Planı'!$F$6:$F$35,11-5)&lt;=('Özet'!$C$6+7*50)+6,INDEX('İzin Planı'!$G$6:$G$35,11-5)&gt;=('Özet'!$C$6+7*50)),AND(N(INDEX('İzin Planı'!$I$6:$I$35,11-5))&gt;0,INDEX('İzin Planı'!$I$6:$I$35,11-5)&lt;=('Özet'!$C$6+7*50)+6,INDEX('İzin Planı'!$J$6:$J$35,11-5)&gt;=('Özet'!$C$6+7*50)),AND(N(INDEX('İzin Planı'!$L$6:$L$35,11-5))&gt;0,INDEX('İzin Planı'!$L$6:$L$35,11-5)&lt;=('Özet'!$C$6+7*50)+6,INDEX('İzin Planı'!$M$6:$M$35,11-5)&gt;=('Özet'!$C$6+7*50))),"İ",""))</f>
      </c>
      <c r="BB11" s="13">
        <f>IF(INDEX('İzin Planı'!$C$6:$C$35,11-5)="","",IF(OR(AND(N(INDEX('İzin Planı'!$F$6:$F$35,11-5))&gt;0,INDEX('İzin Planı'!$F$6:$F$35,11-5)&lt;=('Özet'!$C$6+7*51)+6,INDEX('İzin Planı'!$G$6:$G$35,11-5)&gt;=('Özet'!$C$6+7*51)),AND(N(INDEX('İzin Planı'!$I$6:$I$35,11-5))&gt;0,INDEX('İzin Planı'!$I$6:$I$35,11-5)&lt;=('Özet'!$C$6+7*51)+6,INDEX('İzin Planı'!$J$6:$J$35,11-5)&gt;=('Özet'!$C$6+7*51)),AND(N(INDEX('İzin Planı'!$L$6:$L$35,11-5))&gt;0,INDEX('İzin Planı'!$L$6:$L$35,11-5)&lt;=('Özet'!$C$6+7*51)+6,INDEX('İzin Planı'!$M$6:$M$35,11-5)&gt;=('Özet'!$C$6+7*51))),"İ",""))</f>
      </c>
      <c r="BC11" s="13">
        <f>IF(INDEX('İzin Planı'!$C$6:$C$35,11-5)="","",IF(OR(AND(N(INDEX('İzin Planı'!$F$6:$F$35,11-5))&gt;0,INDEX('İzin Planı'!$F$6:$F$35,11-5)&lt;=('Özet'!$C$6+7*52)+6,INDEX('İzin Planı'!$G$6:$G$35,11-5)&gt;=('Özet'!$C$6+7*52)),AND(N(INDEX('İzin Planı'!$I$6:$I$35,11-5))&gt;0,INDEX('İzin Planı'!$I$6:$I$35,11-5)&lt;=('Özet'!$C$6+7*52)+6,INDEX('İzin Planı'!$J$6:$J$35,11-5)&gt;=('Özet'!$C$6+7*52)),AND(N(INDEX('İzin Planı'!$L$6:$L$35,11-5))&gt;0,INDEX('İzin Planı'!$L$6:$L$35,11-5)&lt;=('Özet'!$C$6+7*52)+6,INDEX('İzin Planı'!$M$6:$M$35,11-5)&gt;=('Özet'!$C$6+7*52))),"İ",""))</f>
      </c>
    </row>
    <row r="12" ht="18" customHeight="1" spans="1:55" x14ac:dyDescent="0.25">
      <c r="A12" s="6">
        <v>7</v>
      </c>
      <c r="B12" s="13">
        <f>IF(INDEX('İzin Planı'!$C$6:$C$35,12-5)="","",INDEX('İzin Planı'!$C$6:$C$35,12-5))</f>
      </c>
      <c r="C12" s="13">
        <f>IF(INDEX('İzin Planı'!$C$6:$C$35,12-5)="","",IF(OR(AND(N(INDEX('İzin Planı'!$F$6:$F$35,12-5))&gt;0,INDEX('İzin Planı'!$F$6:$F$35,12-5)&lt;=('Özet'!$C$6+7*0)+6,INDEX('İzin Planı'!$G$6:$G$35,12-5)&gt;=('Özet'!$C$6+7*0)),AND(N(INDEX('İzin Planı'!$I$6:$I$35,12-5))&gt;0,INDEX('İzin Planı'!$I$6:$I$35,12-5)&lt;=('Özet'!$C$6+7*0)+6,INDEX('İzin Planı'!$J$6:$J$35,12-5)&gt;=('Özet'!$C$6+7*0)),AND(N(INDEX('İzin Planı'!$L$6:$L$35,12-5))&gt;0,INDEX('İzin Planı'!$L$6:$L$35,12-5)&lt;=('Özet'!$C$6+7*0)+6,INDEX('İzin Planı'!$M$6:$M$35,12-5)&gt;=('Özet'!$C$6+7*0))),"İ",""))</f>
      </c>
      <c r="D12" s="13">
        <f>IF(INDEX('İzin Planı'!$C$6:$C$35,12-5)="","",IF(OR(AND(N(INDEX('İzin Planı'!$F$6:$F$35,12-5))&gt;0,INDEX('İzin Planı'!$F$6:$F$35,12-5)&lt;=('Özet'!$C$6+7*1)+6,INDEX('İzin Planı'!$G$6:$G$35,12-5)&gt;=('Özet'!$C$6+7*1)),AND(N(INDEX('İzin Planı'!$I$6:$I$35,12-5))&gt;0,INDEX('İzin Planı'!$I$6:$I$35,12-5)&lt;=('Özet'!$C$6+7*1)+6,INDEX('İzin Planı'!$J$6:$J$35,12-5)&gt;=('Özet'!$C$6+7*1)),AND(N(INDEX('İzin Planı'!$L$6:$L$35,12-5))&gt;0,INDEX('İzin Planı'!$L$6:$L$35,12-5)&lt;=('Özet'!$C$6+7*1)+6,INDEX('İzin Planı'!$M$6:$M$35,12-5)&gt;=('Özet'!$C$6+7*1))),"İ",""))</f>
      </c>
      <c r="E12" s="13">
        <f>IF(INDEX('İzin Planı'!$C$6:$C$35,12-5)="","",IF(OR(AND(N(INDEX('İzin Planı'!$F$6:$F$35,12-5))&gt;0,INDEX('İzin Planı'!$F$6:$F$35,12-5)&lt;=('Özet'!$C$6+7*2)+6,INDEX('İzin Planı'!$G$6:$G$35,12-5)&gt;=('Özet'!$C$6+7*2)),AND(N(INDEX('İzin Planı'!$I$6:$I$35,12-5))&gt;0,INDEX('İzin Planı'!$I$6:$I$35,12-5)&lt;=('Özet'!$C$6+7*2)+6,INDEX('İzin Planı'!$J$6:$J$35,12-5)&gt;=('Özet'!$C$6+7*2)),AND(N(INDEX('İzin Planı'!$L$6:$L$35,12-5))&gt;0,INDEX('İzin Planı'!$L$6:$L$35,12-5)&lt;=('Özet'!$C$6+7*2)+6,INDEX('İzin Planı'!$M$6:$M$35,12-5)&gt;=('Özet'!$C$6+7*2))),"İ",""))</f>
      </c>
      <c r="F12" s="13">
        <f>IF(INDEX('İzin Planı'!$C$6:$C$35,12-5)="","",IF(OR(AND(N(INDEX('İzin Planı'!$F$6:$F$35,12-5))&gt;0,INDEX('İzin Planı'!$F$6:$F$35,12-5)&lt;=('Özet'!$C$6+7*3)+6,INDEX('İzin Planı'!$G$6:$G$35,12-5)&gt;=('Özet'!$C$6+7*3)),AND(N(INDEX('İzin Planı'!$I$6:$I$35,12-5))&gt;0,INDEX('İzin Planı'!$I$6:$I$35,12-5)&lt;=('Özet'!$C$6+7*3)+6,INDEX('İzin Planı'!$J$6:$J$35,12-5)&gt;=('Özet'!$C$6+7*3)),AND(N(INDEX('İzin Planı'!$L$6:$L$35,12-5))&gt;0,INDEX('İzin Planı'!$L$6:$L$35,12-5)&lt;=('Özet'!$C$6+7*3)+6,INDEX('İzin Planı'!$M$6:$M$35,12-5)&gt;=('Özet'!$C$6+7*3))),"İ",""))</f>
      </c>
      <c r="G12" s="13">
        <f>IF(INDEX('İzin Planı'!$C$6:$C$35,12-5)="","",IF(OR(AND(N(INDEX('İzin Planı'!$F$6:$F$35,12-5))&gt;0,INDEX('İzin Planı'!$F$6:$F$35,12-5)&lt;=('Özet'!$C$6+7*4)+6,INDEX('İzin Planı'!$G$6:$G$35,12-5)&gt;=('Özet'!$C$6+7*4)),AND(N(INDEX('İzin Planı'!$I$6:$I$35,12-5))&gt;0,INDEX('İzin Planı'!$I$6:$I$35,12-5)&lt;=('Özet'!$C$6+7*4)+6,INDEX('İzin Planı'!$J$6:$J$35,12-5)&gt;=('Özet'!$C$6+7*4)),AND(N(INDEX('İzin Planı'!$L$6:$L$35,12-5))&gt;0,INDEX('İzin Planı'!$L$6:$L$35,12-5)&lt;=('Özet'!$C$6+7*4)+6,INDEX('İzin Planı'!$M$6:$M$35,12-5)&gt;=('Özet'!$C$6+7*4))),"İ",""))</f>
      </c>
      <c r="H12" s="13">
        <f>IF(INDEX('İzin Planı'!$C$6:$C$35,12-5)="","",IF(OR(AND(N(INDEX('İzin Planı'!$F$6:$F$35,12-5))&gt;0,INDEX('İzin Planı'!$F$6:$F$35,12-5)&lt;=('Özet'!$C$6+7*5)+6,INDEX('İzin Planı'!$G$6:$G$35,12-5)&gt;=('Özet'!$C$6+7*5)),AND(N(INDEX('İzin Planı'!$I$6:$I$35,12-5))&gt;0,INDEX('İzin Planı'!$I$6:$I$35,12-5)&lt;=('Özet'!$C$6+7*5)+6,INDEX('İzin Planı'!$J$6:$J$35,12-5)&gt;=('Özet'!$C$6+7*5)),AND(N(INDEX('İzin Planı'!$L$6:$L$35,12-5))&gt;0,INDEX('İzin Planı'!$L$6:$L$35,12-5)&lt;=('Özet'!$C$6+7*5)+6,INDEX('İzin Planı'!$M$6:$M$35,12-5)&gt;=('Özet'!$C$6+7*5))),"İ",""))</f>
      </c>
      <c r="I12" s="13">
        <f>IF(INDEX('İzin Planı'!$C$6:$C$35,12-5)="","",IF(OR(AND(N(INDEX('İzin Planı'!$F$6:$F$35,12-5))&gt;0,INDEX('İzin Planı'!$F$6:$F$35,12-5)&lt;=('Özet'!$C$6+7*6)+6,INDEX('İzin Planı'!$G$6:$G$35,12-5)&gt;=('Özet'!$C$6+7*6)),AND(N(INDEX('İzin Planı'!$I$6:$I$35,12-5))&gt;0,INDEX('İzin Planı'!$I$6:$I$35,12-5)&lt;=('Özet'!$C$6+7*6)+6,INDEX('İzin Planı'!$J$6:$J$35,12-5)&gt;=('Özet'!$C$6+7*6)),AND(N(INDEX('İzin Planı'!$L$6:$L$35,12-5))&gt;0,INDEX('İzin Planı'!$L$6:$L$35,12-5)&lt;=('Özet'!$C$6+7*6)+6,INDEX('İzin Planı'!$M$6:$M$35,12-5)&gt;=('Özet'!$C$6+7*6))),"İ",""))</f>
      </c>
      <c r="J12" s="13">
        <f>IF(INDEX('İzin Planı'!$C$6:$C$35,12-5)="","",IF(OR(AND(N(INDEX('İzin Planı'!$F$6:$F$35,12-5))&gt;0,INDEX('İzin Planı'!$F$6:$F$35,12-5)&lt;=('Özet'!$C$6+7*7)+6,INDEX('İzin Planı'!$G$6:$G$35,12-5)&gt;=('Özet'!$C$6+7*7)),AND(N(INDEX('İzin Planı'!$I$6:$I$35,12-5))&gt;0,INDEX('İzin Planı'!$I$6:$I$35,12-5)&lt;=('Özet'!$C$6+7*7)+6,INDEX('İzin Planı'!$J$6:$J$35,12-5)&gt;=('Özet'!$C$6+7*7)),AND(N(INDEX('İzin Planı'!$L$6:$L$35,12-5))&gt;0,INDEX('İzin Planı'!$L$6:$L$35,12-5)&lt;=('Özet'!$C$6+7*7)+6,INDEX('İzin Planı'!$M$6:$M$35,12-5)&gt;=('Özet'!$C$6+7*7))),"İ",""))</f>
      </c>
      <c r="K12" s="13">
        <f>IF(INDEX('İzin Planı'!$C$6:$C$35,12-5)="","",IF(OR(AND(N(INDEX('İzin Planı'!$F$6:$F$35,12-5))&gt;0,INDEX('İzin Planı'!$F$6:$F$35,12-5)&lt;=('Özet'!$C$6+7*8)+6,INDEX('İzin Planı'!$G$6:$G$35,12-5)&gt;=('Özet'!$C$6+7*8)),AND(N(INDEX('İzin Planı'!$I$6:$I$35,12-5))&gt;0,INDEX('İzin Planı'!$I$6:$I$35,12-5)&lt;=('Özet'!$C$6+7*8)+6,INDEX('İzin Planı'!$J$6:$J$35,12-5)&gt;=('Özet'!$C$6+7*8)),AND(N(INDEX('İzin Planı'!$L$6:$L$35,12-5))&gt;0,INDEX('İzin Planı'!$L$6:$L$35,12-5)&lt;=('Özet'!$C$6+7*8)+6,INDEX('İzin Planı'!$M$6:$M$35,12-5)&gt;=('Özet'!$C$6+7*8))),"İ",""))</f>
      </c>
      <c r="L12" s="13">
        <f>IF(INDEX('İzin Planı'!$C$6:$C$35,12-5)="","",IF(OR(AND(N(INDEX('İzin Planı'!$F$6:$F$35,12-5))&gt;0,INDEX('İzin Planı'!$F$6:$F$35,12-5)&lt;=('Özet'!$C$6+7*9)+6,INDEX('İzin Planı'!$G$6:$G$35,12-5)&gt;=('Özet'!$C$6+7*9)),AND(N(INDEX('İzin Planı'!$I$6:$I$35,12-5))&gt;0,INDEX('İzin Planı'!$I$6:$I$35,12-5)&lt;=('Özet'!$C$6+7*9)+6,INDEX('İzin Planı'!$J$6:$J$35,12-5)&gt;=('Özet'!$C$6+7*9)),AND(N(INDEX('İzin Planı'!$L$6:$L$35,12-5))&gt;0,INDEX('İzin Planı'!$L$6:$L$35,12-5)&lt;=('Özet'!$C$6+7*9)+6,INDEX('İzin Planı'!$M$6:$M$35,12-5)&gt;=('Özet'!$C$6+7*9))),"İ",""))</f>
      </c>
      <c r="M12" s="13">
        <f>IF(INDEX('İzin Planı'!$C$6:$C$35,12-5)="","",IF(OR(AND(N(INDEX('İzin Planı'!$F$6:$F$35,12-5))&gt;0,INDEX('İzin Planı'!$F$6:$F$35,12-5)&lt;=('Özet'!$C$6+7*10)+6,INDEX('İzin Planı'!$G$6:$G$35,12-5)&gt;=('Özet'!$C$6+7*10)),AND(N(INDEX('İzin Planı'!$I$6:$I$35,12-5))&gt;0,INDEX('İzin Planı'!$I$6:$I$35,12-5)&lt;=('Özet'!$C$6+7*10)+6,INDEX('İzin Planı'!$J$6:$J$35,12-5)&gt;=('Özet'!$C$6+7*10)),AND(N(INDEX('İzin Planı'!$L$6:$L$35,12-5))&gt;0,INDEX('İzin Planı'!$L$6:$L$35,12-5)&lt;=('Özet'!$C$6+7*10)+6,INDEX('İzin Planı'!$M$6:$M$35,12-5)&gt;=('Özet'!$C$6+7*10))),"İ",""))</f>
      </c>
      <c r="N12" s="13">
        <f>IF(INDEX('İzin Planı'!$C$6:$C$35,12-5)="","",IF(OR(AND(N(INDEX('İzin Planı'!$F$6:$F$35,12-5))&gt;0,INDEX('İzin Planı'!$F$6:$F$35,12-5)&lt;=('Özet'!$C$6+7*11)+6,INDEX('İzin Planı'!$G$6:$G$35,12-5)&gt;=('Özet'!$C$6+7*11)),AND(N(INDEX('İzin Planı'!$I$6:$I$35,12-5))&gt;0,INDEX('İzin Planı'!$I$6:$I$35,12-5)&lt;=('Özet'!$C$6+7*11)+6,INDEX('İzin Planı'!$J$6:$J$35,12-5)&gt;=('Özet'!$C$6+7*11)),AND(N(INDEX('İzin Planı'!$L$6:$L$35,12-5))&gt;0,INDEX('İzin Planı'!$L$6:$L$35,12-5)&lt;=('Özet'!$C$6+7*11)+6,INDEX('İzin Planı'!$M$6:$M$35,12-5)&gt;=('Özet'!$C$6+7*11))),"İ",""))</f>
      </c>
      <c r="O12" s="13">
        <f>IF(INDEX('İzin Planı'!$C$6:$C$35,12-5)="","",IF(OR(AND(N(INDEX('İzin Planı'!$F$6:$F$35,12-5))&gt;0,INDEX('İzin Planı'!$F$6:$F$35,12-5)&lt;=('Özet'!$C$6+7*12)+6,INDEX('İzin Planı'!$G$6:$G$35,12-5)&gt;=('Özet'!$C$6+7*12)),AND(N(INDEX('İzin Planı'!$I$6:$I$35,12-5))&gt;0,INDEX('İzin Planı'!$I$6:$I$35,12-5)&lt;=('Özet'!$C$6+7*12)+6,INDEX('İzin Planı'!$J$6:$J$35,12-5)&gt;=('Özet'!$C$6+7*12)),AND(N(INDEX('İzin Planı'!$L$6:$L$35,12-5))&gt;0,INDEX('İzin Planı'!$L$6:$L$35,12-5)&lt;=('Özet'!$C$6+7*12)+6,INDEX('İzin Planı'!$M$6:$M$35,12-5)&gt;=('Özet'!$C$6+7*12))),"İ",""))</f>
      </c>
      <c r="P12" s="13">
        <f>IF(INDEX('İzin Planı'!$C$6:$C$35,12-5)="","",IF(OR(AND(N(INDEX('İzin Planı'!$F$6:$F$35,12-5))&gt;0,INDEX('İzin Planı'!$F$6:$F$35,12-5)&lt;=('Özet'!$C$6+7*13)+6,INDEX('İzin Planı'!$G$6:$G$35,12-5)&gt;=('Özet'!$C$6+7*13)),AND(N(INDEX('İzin Planı'!$I$6:$I$35,12-5))&gt;0,INDEX('İzin Planı'!$I$6:$I$35,12-5)&lt;=('Özet'!$C$6+7*13)+6,INDEX('İzin Planı'!$J$6:$J$35,12-5)&gt;=('Özet'!$C$6+7*13)),AND(N(INDEX('İzin Planı'!$L$6:$L$35,12-5))&gt;0,INDEX('İzin Planı'!$L$6:$L$35,12-5)&lt;=('Özet'!$C$6+7*13)+6,INDEX('İzin Planı'!$M$6:$M$35,12-5)&gt;=('Özet'!$C$6+7*13))),"İ",""))</f>
      </c>
      <c r="Q12" s="13">
        <f>IF(INDEX('İzin Planı'!$C$6:$C$35,12-5)="","",IF(OR(AND(N(INDEX('İzin Planı'!$F$6:$F$35,12-5))&gt;0,INDEX('İzin Planı'!$F$6:$F$35,12-5)&lt;=('Özet'!$C$6+7*14)+6,INDEX('İzin Planı'!$G$6:$G$35,12-5)&gt;=('Özet'!$C$6+7*14)),AND(N(INDEX('İzin Planı'!$I$6:$I$35,12-5))&gt;0,INDEX('İzin Planı'!$I$6:$I$35,12-5)&lt;=('Özet'!$C$6+7*14)+6,INDEX('İzin Planı'!$J$6:$J$35,12-5)&gt;=('Özet'!$C$6+7*14)),AND(N(INDEX('İzin Planı'!$L$6:$L$35,12-5))&gt;0,INDEX('İzin Planı'!$L$6:$L$35,12-5)&lt;=('Özet'!$C$6+7*14)+6,INDEX('İzin Planı'!$M$6:$M$35,12-5)&gt;=('Özet'!$C$6+7*14))),"İ",""))</f>
      </c>
      <c r="R12" s="13">
        <f>IF(INDEX('İzin Planı'!$C$6:$C$35,12-5)="","",IF(OR(AND(N(INDEX('İzin Planı'!$F$6:$F$35,12-5))&gt;0,INDEX('İzin Planı'!$F$6:$F$35,12-5)&lt;=('Özet'!$C$6+7*15)+6,INDEX('İzin Planı'!$G$6:$G$35,12-5)&gt;=('Özet'!$C$6+7*15)),AND(N(INDEX('İzin Planı'!$I$6:$I$35,12-5))&gt;0,INDEX('İzin Planı'!$I$6:$I$35,12-5)&lt;=('Özet'!$C$6+7*15)+6,INDEX('İzin Planı'!$J$6:$J$35,12-5)&gt;=('Özet'!$C$6+7*15)),AND(N(INDEX('İzin Planı'!$L$6:$L$35,12-5))&gt;0,INDEX('İzin Planı'!$L$6:$L$35,12-5)&lt;=('Özet'!$C$6+7*15)+6,INDEX('İzin Planı'!$M$6:$M$35,12-5)&gt;=('Özet'!$C$6+7*15))),"İ",""))</f>
      </c>
      <c r="S12" s="13">
        <f>IF(INDEX('İzin Planı'!$C$6:$C$35,12-5)="","",IF(OR(AND(N(INDEX('İzin Planı'!$F$6:$F$35,12-5))&gt;0,INDEX('İzin Planı'!$F$6:$F$35,12-5)&lt;=('Özet'!$C$6+7*16)+6,INDEX('İzin Planı'!$G$6:$G$35,12-5)&gt;=('Özet'!$C$6+7*16)),AND(N(INDEX('İzin Planı'!$I$6:$I$35,12-5))&gt;0,INDEX('İzin Planı'!$I$6:$I$35,12-5)&lt;=('Özet'!$C$6+7*16)+6,INDEX('İzin Planı'!$J$6:$J$35,12-5)&gt;=('Özet'!$C$6+7*16)),AND(N(INDEX('İzin Planı'!$L$6:$L$35,12-5))&gt;0,INDEX('İzin Planı'!$L$6:$L$35,12-5)&lt;=('Özet'!$C$6+7*16)+6,INDEX('İzin Planı'!$M$6:$M$35,12-5)&gt;=('Özet'!$C$6+7*16))),"İ",""))</f>
      </c>
      <c r="T12" s="13">
        <f>IF(INDEX('İzin Planı'!$C$6:$C$35,12-5)="","",IF(OR(AND(N(INDEX('İzin Planı'!$F$6:$F$35,12-5))&gt;0,INDEX('İzin Planı'!$F$6:$F$35,12-5)&lt;=('Özet'!$C$6+7*17)+6,INDEX('İzin Planı'!$G$6:$G$35,12-5)&gt;=('Özet'!$C$6+7*17)),AND(N(INDEX('İzin Planı'!$I$6:$I$35,12-5))&gt;0,INDEX('İzin Planı'!$I$6:$I$35,12-5)&lt;=('Özet'!$C$6+7*17)+6,INDEX('İzin Planı'!$J$6:$J$35,12-5)&gt;=('Özet'!$C$6+7*17)),AND(N(INDEX('İzin Planı'!$L$6:$L$35,12-5))&gt;0,INDEX('İzin Planı'!$L$6:$L$35,12-5)&lt;=('Özet'!$C$6+7*17)+6,INDEX('İzin Planı'!$M$6:$M$35,12-5)&gt;=('Özet'!$C$6+7*17))),"İ",""))</f>
      </c>
      <c r="U12" s="13">
        <f>IF(INDEX('İzin Planı'!$C$6:$C$35,12-5)="","",IF(OR(AND(N(INDEX('İzin Planı'!$F$6:$F$35,12-5))&gt;0,INDEX('İzin Planı'!$F$6:$F$35,12-5)&lt;=('Özet'!$C$6+7*18)+6,INDEX('İzin Planı'!$G$6:$G$35,12-5)&gt;=('Özet'!$C$6+7*18)),AND(N(INDEX('İzin Planı'!$I$6:$I$35,12-5))&gt;0,INDEX('İzin Planı'!$I$6:$I$35,12-5)&lt;=('Özet'!$C$6+7*18)+6,INDEX('İzin Planı'!$J$6:$J$35,12-5)&gt;=('Özet'!$C$6+7*18)),AND(N(INDEX('İzin Planı'!$L$6:$L$35,12-5))&gt;0,INDEX('İzin Planı'!$L$6:$L$35,12-5)&lt;=('Özet'!$C$6+7*18)+6,INDEX('İzin Planı'!$M$6:$M$35,12-5)&gt;=('Özet'!$C$6+7*18))),"İ",""))</f>
      </c>
      <c r="V12" s="13">
        <f>IF(INDEX('İzin Planı'!$C$6:$C$35,12-5)="","",IF(OR(AND(N(INDEX('İzin Planı'!$F$6:$F$35,12-5))&gt;0,INDEX('İzin Planı'!$F$6:$F$35,12-5)&lt;=('Özet'!$C$6+7*19)+6,INDEX('İzin Planı'!$G$6:$G$35,12-5)&gt;=('Özet'!$C$6+7*19)),AND(N(INDEX('İzin Planı'!$I$6:$I$35,12-5))&gt;0,INDEX('İzin Planı'!$I$6:$I$35,12-5)&lt;=('Özet'!$C$6+7*19)+6,INDEX('İzin Planı'!$J$6:$J$35,12-5)&gt;=('Özet'!$C$6+7*19)),AND(N(INDEX('İzin Planı'!$L$6:$L$35,12-5))&gt;0,INDEX('İzin Planı'!$L$6:$L$35,12-5)&lt;=('Özet'!$C$6+7*19)+6,INDEX('İzin Planı'!$M$6:$M$35,12-5)&gt;=('Özet'!$C$6+7*19))),"İ",""))</f>
      </c>
      <c r="W12" s="13">
        <f>IF(INDEX('İzin Planı'!$C$6:$C$35,12-5)="","",IF(OR(AND(N(INDEX('İzin Planı'!$F$6:$F$35,12-5))&gt;0,INDEX('İzin Planı'!$F$6:$F$35,12-5)&lt;=('Özet'!$C$6+7*20)+6,INDEX('İzin Planı'!$G$6:$G$35,12-5)&gt;=('Özet'!$C$6+7*20)),AND(N(INDEX('İzin Planı'!$I$6:$I$35,12-5))&gt;0,INDEX('İzin Planı'!$I$6:$I$35,12-5)&lt;=('Özet'!$C$6+7*20)+6,INDEX('İzin Planı'!$J$6:$J$35,12-5)&gt;=('Özet'!$C$6+7*20)),AND(N(INDEX('İzin Planı'!$L$6:$L$35,12-5))&gt;0,INDEX('İzin Planı'!$L$6:$L$35,12-5)&lt;=('Özet'!$C$6+7*20)+6,INDEX('İzin Planı'!$M$6:$M$35,12-5)&gt;=('Özet'!$C$6+7*20))),"İ",""))</f>
      </c>
      <c r="X12" s="13">
        <f>IF(INDEX('İzin Planı'!$C$6:$C$35,12-5)="","",IF(OR(AND(N(INDEX('İzin Planı'!$F$6:$F$35,12-5))&gt;0,INDEX('İzin Planı'!$F$6:$F$35,12-5)&lt;=('Özet'!$C$6+7*21)+6,INDEX('İzin Planı'!$G$6:$G$35,12-5)&gt;=('Özet'!$C$6+7*21)),AND(N(INDEX('İzin Planı'!$I$6:$I$35,12-5))&gt;0,INDEX('İzin Planı'!$I$6:$I$35,12-5)&lt;=('Özet'!$C$6+7*21)+6,INDEX('İzin Planı'!$J$6:$J$35,12-5)&gt;=('Özet'!$C$6+7*21)),AND(N(INDEX('İzin Planı'!$L$6:$L$35,12-5))&gt;0,INDEX('İzin Planı'!$L$6:$L$35,12-5)&lt;=('Özet'!$C$6+7*21)+6,INDEX('İzin Planı'!$M$6:$M$35,12-5)&gt;=('Özet'!$C$6+7*21))),"İ",""))</f>
      </c>
      <c r="Y12" s="13">
        <f>IF(INDEX('İzin Planı'!$C$6:$C$35,12-5)="","",IF(OR(AND(N(INDEX('İzin Planı'!$F$6:$F$35,12-5))&gt;0,INDEX('İzin Planı'!$F$6:$F$35,12-5)&lt;=('Özet'!$C$6+7*22)+6,INDEX('İzin Planı'!$G$6:$G$35,12-5)&gt;=('Özet'!$C$6+7*22)),AND(N(INDEX('İzin Planı'!$I$6:$I$35,12-5))&gt;0,INDEX('İzin Planı'!$I$6:$I$35,12-5)&lt;=('Özet'!$C$6+7*22)+6,INDEX('İzin Planı'!$J$6:$J$35,12-5)&gt;=('Özet'!$C$6+7*22)),AND(N(INDEX('İzin Planı'!$L$6:$L$35,12-5))&gt;0,INDEX('İzin Planı'!$L$6:$L$35,12-5)&lt;=('Özet'!$C$6+7*22)+6,INDEX('İzin Planı'!$M$6:$M$35,12-5)&gt;=('Özet'!$C$6+7*22))),"İ",""))</f>
      </c>
      <c r="Z12" s="13">
        <f>IF(INDEX('İzin Planı'!$C$6:$C$35,12-5)="","",IF(OR(AND(N(INDEX('İzin Planı'!$F$6:$F$35,12-5))&gt;0,INDEX('İzin Planı'!$F$6:$F$35,12-5)&lt;=('Özet'!$C$6+7*23)+6,INDEX('İzin Planı'!$G$6:$G$35,12-5)&gt;=('Özet'!$C$6+7*23)),AND(N(INDEX('İzin Planı'!$I$6:$I$35,12-5))&gt;0,INDEX('İzin Planı'!$I$6:$I$35,12-5)&lt;=('Özet'!$C$6+7*23)+6,INDEX('İzin Planı'!$J$6:$J$35,12-5)&gt;=('Özet'!$C$6+7*23)),AND(N(INDEX('İzin Planı'!$L$6:$L$35,12-5))&gt;0,INDEX('İzin Planı'!$L$6:$L$35,12-5)&lt;=('Özet'!$C$6+7*23)+6,INDEX('İzin Planı'!$M$6:$M$35,12-5)&gt;=('Özet'!$C$6+7*23))),"İ",""))</f>
      </c>
      <c r="AA12" s="13">
        <f>IF(INDEX('İzin Planı'!$C$6:$C$35,12-5)="","",IF(OR(AND(N(INDEX('İzin Planı'!$F$6:$F$35,12-5))&gt;0,INDEX('İzin Planı'!$F$6:$F$35,12-5)&lt;=('Özet'!$C$6+7*24)+6,INDEX('İzin Planı'!$G$6:$G$35,12-5)&gt;=('Özet'!$C$6+7*24)),AND(N(INDEX('İzin Planı'!$I$6:$I$35,12-5))&gt;0,INDEX('İzin Planı'!$I$6:$I$35,12-5)&lt;=('Özet'!$C$6+7*24)+6,INDEX('İzin Planı'!$J$6:$J$35,12-5)&gt;=('Özet'!$C$6+7*24)),AND(N(INDEX('İzin Planı'!$L$6:$L$35,12-5))&gt;0,INDEX('İzin Planı'!$L$6:$L$35,12-5)&lt;=('Özet'!$C$6+7*24)+6,INDEX('İzin Planı'!$M$6:$M$35,12-5)&gt;=('Özet'!$C$6+7*24))),"İ",""))</f>
      </c>
      <c r="AB12" s="13">
        <f>IF(INDEX('İzin Planı'!$C$6:$C$35,12-5)="","",IF(OR(AND(N(INDEX('İzin Planı'!$F$6:$F$35,12-5))&gt;0,INDEX('İzin Planı'!$F$6:$F$35,12-5)&lt;=('Özet'!$C$6+7*25)+6,INDEX('İzin Planı'!$G$6:$G$35,12-5)&gt;=('Özet'!$C$6+7*25)),AND(N(INDEX('İzin Planı'!$I$6:$I$35,12-5))&gt;0,INDEX('İzin Planı'!$I$6:$I$35,12-5)&lt;=('Özet'!$C$6+7*25)+6,INDEX('İzin Planı'!$J$6:$J$35,12-5)&gt;=('Özet'!$C$6+7*25)),AND(N(INDEX('İzin Planı'!$L$6:$L$35,12-5))&gt;0,INDEX('İzin Planı'!$L$6:$L$35,12-5)&lt;=('Özet'!$C$6+7*25)+6,INDEX('İzin Planı'!$M$6:$M$35,12-5)&gt;=('Özet'!$C$6+7*25))),"İ",""))</f>
      </c>
      <c r="AC12" s="13">
        <f>IF(INDEX('İzin Planı'!$C$6:$C$35,12-5)="","",IF(OR(AND(N(INDEX('İzin Planı'!$F$6:$F$35,12-5))&gt;0,INDEX('İzin Planı'!$F$6:$F$35,12-5)&lt;=('Özet'!$C$6+7*26)+6,INDEX('İzin Planı'!$G$6:$G$35,12-5)&gt;=('Özet'!$C$6+7*26)),AND(N(INDEX('İzin Planı'!$I$6:$I$35,12-5))&gt;0,INDEX('İzin Planı'!$I$6:$I$35,12-5)&lt;=('Özet'!$C$6+7*26)+6,INDEX('İzin Planı'!$J$6:$J$35,12-5)&gt;=('Özet'!$C$6+7*26)),AND(N(INDEX('İzin Planı'!$L$6:$L$35,12-5))&gt;0,INDEX('İzin Planı'!$L$6:$L$35,12-5)&lt;=('Özet'!$C$6+7*26)+6,INDEX('İzin Planı'!$M$6:$M$35,12-5)&gt;=('Özet'!$C$6+7*26))),"İ",""))</f>
      </c>
      <c r="AD12" s="13">
        <f>IF(INDEX('İzin Planı'!$C$6:$C$35,12-5)="","",IF(OR(AND(N(INDEX('İzin Planı'!$F$6:$F$35,12-5))&gt;0,INDEX('İzin Planı'!$F$6:$F$35,12-5)&lt;=('Özet'!$C$6+7*27)+6,INDEX('İzin Planı'!$G$6:$G$35,12-5)&gt;=('Özet'!$C$6+7*27)),AND(N(INDEX('İzin Planı'!$I$6:$I$35,12-5))&gt;0,INDEX('İzin Planı'!$I$6:$I$35,12-5)&lt;=('Özet'!$C$6+7*27)+6,INDEX('İzin Planı'!$J$6:$J$35,12-5)&gt;=('Özet'!$C$6+7*27)),AND(N(INDEX('İzin Planı'!$L$6:$L$35,12-5))&gt;0,INDEX('İzin Planı'!$L$6:$L$35,12-5)&lt;=('Özet'!$C$6+7*27)+6,INDEX('İzin Planı'!$M$6:$M$35,12-5)&gt;=('Özet'!$C$6+7*27))),"İ",""))</f>
      </c>
      <c r="AE12" s="13">
        <f>IF(INDEX('İzin Planı'!$C$6:$C$35,12-5)="","",IF(OR(AND(N(INDEX('İzin Planı'!$F$6:$F$35,12-5))&gt;0,INDEX('İzin Planı'!$F$6:$F$35,12-5)&lt;=('Özet'!$C$6+7*28)+6,INDEX('İzin Planı'!$G$6:$G$35,12-5)&gt;=('Özet'!$C$6+7*28)),AND(N(INDEX('İzin Planı'!$I$6:$I$35,12-5))&gt;0,INDEX('İzin Planı'!$I$6:$I$35,12-5)&lt;=('Özet'!$C$6+7*28)+6,INDEX('İzin Planı'!$J$6:$J$35,12-5)&gt;=('Özet'!$C$6+7*28)),AND(N(INDEX('İzin Planı'!$L$6:$L$35,12-5))&gt;0,INDEX('İzin Planı'!$L$6:$L$35,12-5)&lt;=('Özet'!$C$6+7*28)+6,INDEX('İzin Planı'!$M$6:$M$35,12-5)&gt;=('Özet'!$C$6+7*28))),"İ",""))</f>
      </c>
      <c r="AF12" s="13">
        <f>IF(INDEX('İzin Planı'!$C$6:$C$35,12-5)="","",IF(OR(AND(N(INDEX('İzin Planı'!$F$6:$F$35,12-5))&gt;0,INDEX('İzin Planı'!$F$6:$F$35,12-5)&lt;=('Özet'!$C$6+7*29)+6,INDEX('İzin Planı'!$G$6:$G$35,12-5)&gt;=('Özet'!$C$6+7*29)),AND(N(INDEX('İzin Planı'!$I$6:$I$35,12-5))&gt;0,INDEX('İzin Planı'!$I$6:$I$35,12-5)&lt;=('Özet'!$C$6+7*29)+6,INDEX('İzin Planı'!$J$6:$J$35,12-5)&gt;=('Özet'!$C$6+7*29)),AND(N(INDEX('İzin Planı'!$L$6:$L$35,12-5))&gt;0,INDEX('İzin Planı'!$L$6:$L$35,12-5)&lt;=('Özet'!$C$6+7*29)+6,INDEX('İzin Planı'!$M$6:$M$35,12-5)&gt;=('Özet'!$C$6+7*29))),"İ",""))</f>
      </c>
      <c r="AG12" s="13">
        <f>IF(INDEX('İzin Planı'!$C$6:$C$35,12-5)="","",IF(OR(AND(N(INDEX('İzin Planı'!$F$6:$F$35,12-5))&gt;0,INDEX('İzin Planı'!$F$6:$F$35,12-5)&lt;=('Özet'!$C$6+7*30)+6,INDEX('İzin Planı'!$G$6:$G$35,12-5)&gt;=('Özet'!$C$6+7*30)),AND(N(INDEX('İzin Planı'!$I$6:$I$35,12-5))&gt;0,INDEX('İzin Planı'!$I$6:$I$35,12-5)&lt;=('Özet'!$C$6+7*30)+6,INDEX('İzin Planı'!$J$6:$J$35,12-5)&gt;=('Özet'!$C$6+7*30)),AND(N(INDEX('İzin Planı'!$L$6:$L$35,12-5))&gt;0,INDEX('İzin Planı'!$L$6:$L$35,12-5)&lt;=('Özet'!$C$6+7*30)+6,INDEX('İzin Planı'!$M$6:$M$35,12-5)&gt;=('Özet'!$C$6+7*30))),"İ",""))</f>
      </c>
      <c r="AH12" s="13">
        <f>IF(INDEX('İzin Planı'!$C$6:$C$35,12-5)="","",IF(OR(AND(N(INDEX('İzin Planı'!$F$6:$F$35,12-5))&gt;0,INDEX('İzin Planı'!$F$6:$F$35,12-5)&lt;=('Özet'!$C$6+7*31)+6,INDEX('İzin Planı'!$G$6:$G$35,12-5)&gt;=('Özet'!$C$6+7*31)),AND(N(INDEX('İzin Planı'!$I$6:$I$35,12-5))&gt;0,INDEX('İzin Planı'!$I$6:$I$35,12-5)&lt;=('Özet'!$C$6+7*31)+6,INDEX('İzin Planı'!$J$6:$J$35,12-5)&gt;=('Özet'!$C$6+7*31)),AND(N(INDEX('İzin Planı'!$L$6:$L$35,12-5))&gt;0,INDEX('İzin Planı'!$L$6:$L$35,12-5)&lt;=('Özet'!$C$6+7*31)+6,INDEX('İzin Planı'!$M$6:$M$35,12-5)&gt;=('Özet'!$C$6+7*31))),"İ",""))</f>
      </c>
      <c r="AI12" s="13">
        <f>IF(INDEX('İzin Planı'!$C$6:$C$35,12-5)="","",IF(OR(AND(N(INDEX('İzin Planı'!$F$6:$F$35,12-5))&gt;0,INDEX('İzin Planı'!$F$6:$F$35,12-5)&lt;=('Özet'!$C$6+7*32)+6,INDEX('İzin Planı'!$G$6:$G$35,12-5)&gt;=('Özet'!$C$6+7*32)),AND(N(INDEX('İzin Planı'!$I$6:$I$35,12-5))&gt;0,INDEX('İzin Planı'!$I$6:$I$35,12-5)&lt;=('Özet'!$C$6+7*32)+6,INDEX('İzin Planı'!$J$6:$J$35,12-5)&gt;=('Özet'!$C$6+7*32)),AND(N(INDEX('İzin Planı'!$L$6:$L$35,12-5))&gt;0,INDEX('İzin Planı'!$L$6:$L$35,12-5)&lt;=('Özet'!$C$6+7*32)+6,INDEX('İzin Planı'!$M$6:$M$35,12-5)&gt;=('Özet'!$C$6+7*32))),"İ",""))</f>
      </c>
      <c r="AJ12" s="13">
        <f>IF(INDEX('İzin Planı'!$C$6:$C$35,12-5)="","",IF(OR(AND(N(INDEX('İzin Planı'!$F$6:$F$35,12-5))&gt;0,INDEX('İzin Planı'!$F$6:$F$35,12-5)&lt;=('Özet'!$C$6+7*33)+6,INDEX('İzin Planı'!$G$6:$G$35,12-5)&gt;=('Özet'!$C$6+7*33)),AND(N(INDEX('İzin Planı'!$I$6:$I$35,12-5))&gt;0,INDEX('İzin Planı'!$I$6:$I$35,12-5)&lt;=('Özet'!$C$6+7*33)+6,INDEX('İzin Planı'!$J$6:$J$35,12-5)&gt;=('Özet'!$C$6+7*33)),AND(N(INDEX('İzin Planı'!$L$6:$L$35,12-5))&gt;0,INDEX('İzin Planı'!$L$6:$L$35,12-5)&lt;=('Özet'!$C$6+7*33)+6,INDEX('İzin Planı'!$M$6:$M$35,12-5)&gt;=('Özet'!$C$6+7*33))),"İ",""))</f>
      </c>
      <c r="AK12" s="13">
        <f>IF(INDEX('İzin Planı'!$C$6:$C$35,12-5)="","",IF(OR(AND(N(INDEX('İzin Planı'!$F$6:$F$35,12-5))&gt;0,INDEX('İzin Planı'!$F$6:$F$35,12-5)&lt;=('Özet'!$C$6+7*34)+6,INDEX('İzin Planı'!$G$6:$G$35,12-5)&gt;=('Özet'!$C$6+7*34)),AND(N(INDEX('İzin Planı'!$I$6:$I$35,12-5))&gt;0,INDEX('İzin Planı'!$I$6:$I$35,12-5)&lt;=('Özet'!$C$6+7*34)+6,INDEX('İzin Planı'!$J$6:$J$35,12-5)&gt;=('Özet'!$C$6+7*34)),AND(N(INDEX('İzin Planı'!$L$6:$L$35,12-5))&gt;0,INDEX('İzin Planı'!$L$6:$L$35,12-5)&lt;=('Özet'!$C$6+7*34)+6,INDEX('İzin Planı'!$M$6:$M$35,12-5)&gt;=('Özet'!$C$6+7*34))),"İ",""))</f>
      </c>
      <c r="AL12" s="13">
        <f>IF(INDEX('İzin Planı'!$C$6:$C$35,12-5)="","",IF(OR(AND(N(INDEX('İzin Planı'!$F$6:$F$35,12-5))&gt;0,INDEX('İzin Planı'!$F$6:$F$35,12-5)&lt;=('Özet'!$C$6+7*35)+6,INDEX('İzin Planı'!$G$6:$G$35,12-5)&gt;=('Özet'!$C$6+7*35)),AND(N(INDEX('İzin Planı'!$I$6:$I$35,12-5))&gt;0,INDEX('İzin Planı'!$I$6:$I$35,12-5)&lt;=('Özet'!$C$6+7*35)+6,INDEX('İzin Planı'!$J$6:$J$35,12-5)&gt;=('Özet'!$C$6+7*35)),AND(N(INDEX('İzin Planı'!$L$6:$L$35,12-5))&gt;0,INDEX('İzin Planı'!$L$6:$L$35,12-5)&lt;=('Özet'!$C$6+7*35)+6,INDEX('İzin Planı'!$M$6:$M$35,12-5)&gt;=('Özet'!$C$6+7*35))),"İ",""))</f>
      </c>
      <c r="AM12" s="13">
        <f>IF(INDEX('İzin Planı'!$C$6:$C$35,12-5)="","",IF(OR(AND(N(INDEX('İzin Planı'!$F$6:$F$35,12-5))&gt;0,INDEX('İzin Planı'!$F$6:$F$35,12-5)&lt;=('Özet'!$C$6+7*36)+6,INDEX('İzin Planı'!$G$6:$G$35,12-5)&gt;=('Özet'!$C$6+7*36)),AND(N(INDEX('İzin Planı'!$I$6:$I$35,12-5))&gt;0,INDEX('İzin Planı'!$I$6:$I$35,12-5)&lt;=('Özet'!$C$6+7*36)+6,INDEX('İzin Planı'!$J$6:$J$35,12-5)&gt;=('Özet'!$C$6+7*36)),AND(N(INDEX('İzin Planı'!$L$6:$L$35,12-5))&gt;0,INDEX('İzin Planı'!$L$6:$L$35,12-5)&lt;=('Özet'!$C$6+7*36)+6,INDEX('İzin Planı'!$M$6:$M$35,12-5)&gt;=('Özet'!$C$6+7*36))),"İ",""))</f>
      </c>
      <c r="AN12" s="13">
        <f>IF(INDEX('İzin Planı'!$C$6:$C$35,12-5)="","",IF(OR(AND(N(INDEX('İzin Planı'!$F$6:$F$35,12-5))&gt;0,INDEX('İzin Planı'!$F$6:$F$35,12-5)&lt;=('Özet'!$C$6+7*37)+6,INDEX('İzin Planı'!$G$6:$G$35,12-5)&gt;=('Özet'!$C$6+7*37)),AND(N(INDEX('İzin Planı'!$I$6:$I$35,12-5))&gt;0,INDEX('İzin Planı'!$I$6:$I$35,12-5)&lt;=('Özet'!$C$6+7*37)+6,INDEX('İzin Planı'!$J$6:$J$35,12-5)&gt;=('Özet'!$C$6+7*37)),AND(N(INDEX('İzin Planı'!$L$6:$L$35,12-5))&gt;0,INDEX('İzin Planı'!$L$6:$L$35,12-5)&lt;=('Özet'!$C$6+7*37)+6,INDEX('İzin Planı'!$M$6:$M$35,12-5)&gt;=('Özet'!$C$6+7*37))),"İ",""))</f>
      </c>
      <c r="AO12" s="13">
        <f>IF(INDEX('İzin Planı'!$C$6:$C$35,12-5)="","",IF(OR(AND(N(INDEX('İzin Planı'!$F$6:$F$35,12-5))&gt;0,INDEX('İzin Planı'!$F$6:$F$35,12-5)&lt;=('Özet'!$C$6+7*38)+6,INDEX('İzin Planı'!$G$6:$G$35,12-5)&gt;=('Özet'!$C$6+7*38)),AND(N(INDEX('İzin Planı'!$I$6:$I$35,12-5))&gt;0,INDEX('İzin Planı'!$I$6:$I$35,12-5)&lt;=('Özet'!$C$6+7*38)+6,INDEX('İzin Planı'!$J$6:$J$35,12-5)&gt;=('Özet'!$C$6+7*38)),AND(N(INDEX('İzin Planı'!$L$6:$L$35,12-5))&gt;0,INDEX('İzin Planı'!$L$6:$L$35,12-5)&lt;=('Özet'!$C$6+7*38)+6,INDEX('İzin Planı'!$M$6:$M$35,12-5)&gt;=('Özet'!$C$6+7*38))),"İ",""))</f>
      </c>
      <c r="AP12" s="13">
        <f>IF(INDEX('İzin Planı'!$C$6:$C$35,12-5)="","",IF(OR(AND(N(INDEX('İzin Planı'!$F$6:$F$35,12-5))&gt;0,INDEX('İzin Planı'!$F$6:$F$35,12-5)&lt;=('Özet'!$C$6+7*39)+6,INDEX('İzin Planı'!$G$6:$G$35,12-5)&gt;=('Özet'!$C$6+7*39)),AND(N(INDEX('İzin Planı'!$I$6:$I$35,12-5))&gt;0,INDEX('İzin Planı'!$I$6:$I$35,12-5)&lt;=('Özet'!$C$6+7*39)+6,INDEX('İzin Planı'!$J$6:$J$35,12-5)&gt;=('Özet'!$C$6+7*39)),AND(N(INDEX('İzin Planı'!$L$6:$L$35,12-5))&gt;0,INDEX('İzin Planı'!$L$6:$L$35,12-5)&lt;=('Özet'!$C$6+7*39)+6,INDEX('İzin Planı'!$M$6:$M$35,12-5)&gt;=('Özet'!$C$6+7*39))),"İ",""))</f>
      </c>
      <c r="AQ12" s="13">
        <f>IF(INDEX('İzin Planı'!$C$6:$C$35,12-5)="","",IF(OR(AND(N(INDEX('İzin Planı'!$F$6:$F$35,12-5))&gt;0,INDEX('İzin Planı'!$F$6:$F$35,12-5)&lt;=('Özet'!$C$6+7*40)+6,INDEX('İzin Planı'!$G$6:$G$35,12-5)&gt;=('Özet'!$C$6+7*40)),AND(N(INDEX('İzin Planı'!$I$6:$I$35,12-5))&gt;0,INDEX('İzin Planı'!$I$6:$I$35,12-5)&lt;=('Özet'!$C$6+7*40)+6,INDEX('İzin Planı'!$J$6:$J$35,12-5)&gt;=('Özet'!$C$6+7*40)),AND(N(INDEX('İzin Planı'!$L$6:$L$35,12-5))&gt;0,INDEX('İzin Planı'!$L$6:$L$35,12-5)&lt;=('Özet'!$C$6+7*40)+6,INDEX('İzin Planı'!$M$6:$M$35,12-5)&gt;=('Özet'!$C$6+7*40))),"İ",""))</f>
      </c>
      <c r="AR12" s="13">
        <f>IF(INDEX('İzin Planı'!$C$6:$C$35,12-5)="","",IF(OR(AND(N(INDEX('İzin Planı'!$F$6:$F$35,12-5))&gt;0,INDEX('İzin Planı'!$F$6:$F$35,12-5)&lt;=('Özet'!$C$6+7*41)+6,INDEX('İzin Planı'!$G$6:$G$35,12-5)&gt;=('Özet'!$C$6+7*41)),AND(N(INDEX('İzin Planı'!$I$6:$I$35,12-5))&gt;0,INDEX('İzin Planı'!$I$6:$I$35,12-5)&lt;=('Özet'!$C$6+7*41)+6,INDEX('İzin Planı'!$J$6:$J$35,12-5)&gt;=('Özet'!$C$6+7*41)),AND(N(INDEX('İzin Planı'!$L$6:$L$35,12-5))&gt;0,INDEX('İzin Planı'!$L$6:$L$35,12-5)&lt;=('Özet'!$C$6+7*41)+6,INDEX('İzin Planı'!$M$6:$M$35,12-5)&gt;=('Özet'!$C$6+7*41))),"İ",""))</f>
      </c>
      <c r="AS12" s="13">
        <f>IF(INDEX('İzin Planı'!$C$6:$C$35,12-5)="","",IF(OR(AND(N(INDEX('İzin Planı'!$F$6:$F$35,12-5))&gt;0,INDEX('İzin Planı'!$F$6:$F$35,12-5)&lt;=('Özet'!$C$6+7*42)+6,INDEX('İzin Planı'!$G$6:$G$35,12-5)&gt;=('Özet'!$C$6+7*42)),AND(N(INDEX('İzin Planı'!$I$6:$I$35,12-5))&gt;0,INDEX('İzin Planı'!$I$6:$I$35,12-5)&lt;=('Özet'!$C$6+7*42)+6,INDEX('İzin Planı'!$J$6:$J$35,12-5)&gt;=('Özet'!$C$6+7*42)),AND(N(INDEX('İzin Planı'!$L$6:$L$35,12-5))&gt;0,INDEX('İzin Planı'!$L$6:$L$35,12-5)&lt;=('Özet'!$C$6+7*42)+6,INDEX('İzin Planı'!$M$6:$M$35,12-5)&gt;=('Özet'!$C$6+7*42))),"İ",""))</f>
      </c>
      <c r="AT12" s="13">
        <f>IF(INDEX('İzin Planı'!$C$6:$C$35,12-5)="","",IF(OR(AND(N(INDEX('İzin Planı'!$F$6:$F$35,12-5))&gt;0,INDEX('İzin Planı'!$F$6:$F$35,12-5)&lt;=('Özet'!$C$6+7*43)+6,INDEX('İzin Planı'!$G$6:$G$35,12-5)&gt;=('Özet'!$C$6+7*43)),AND(N(INDEX('İzin Planı'!$I$6:$I$35,12-5))&gt;0,INDEX('İzin Planı'!$I$6:$I$35,12-5)&lt;=('Özet'!$C$6+7*43)+6,INDEX('İzin Planı'!$J$6:$J$35,12-5)&gt;=('Özet'!$C$6+7*43)),AND(N(INDEX('İzin Planı'!$L$6:$L$35,12-5))&gt;0,INDEX('İzin Planı'!$L$6:$L$35,12-5)&lt;=('Özet'!$C$6+7*43)+6,INDEX('İzin Planı'!$M$6:$M$35,12-5)&gt;=('Özet'!$C$6+7*43))),"İ",""))</f>
      </c>
      <c r="AU12" s="13">
        <f>IF(INDEX('İzin Planı'!$C$6:$C$35,12-5)="","",IF(OR(AND(N(INDEX('İzin Planı'!$F$6:$F$35,12-5))&gt;0,INDEX('İzin Planı'!$F$6:$F$35,12-5)&lt;=('Özet'!$C$6+7*44)+6,INDEX('İzin Planı'!$G$6:$G$35,12-5)&gt;=('Özet'!$C$6+7*44)),AND(N(INDEX('İzin Planı'!$I$6:$I$35,12-5))&gt;0,INDEX('İzin Planı'!$I$6:$I$35,12-5)&lt;=('Özet'!$C$6+7*44)+6,INDEX('İzin Planı'!$J$6:$J$35,12-5)&gt;=('Özet'!$C$6+7*44)),AND(N(INDEX('İzin Planı'!$L$6:$L$35,12-5))&gt;0,INDEX('İzin Planı'!$L$6:$L$35,12-5)&lt;=('Özet'!$C$6+7*44)+6,INDEX('İzin Planı'!$M$6:$M$35,12-5)&gt;=('Özet'!$C$6+7*44))),"İ",""))</f>
      </c>
      <c r="AV12" s="13">
        <f>IF(INDEX('İzin Planı'!$C$6:$C$35,12-5)="","",IF(OR(AND(N(INDEX('İzin Planı'!$F$6:$F$35,12-5))&gt;0,INDEX('İzin Planı'!$F$6:$F$35,12-5)&lt;=('Özet'!$C$6+7*45)+6,INDEX('İzin Planı'!$G$6:$G$35,12-5)&gt;=('Özet'!$C$6+7*45)),AND(N(INDEX('İzin Planı'!$I$6:$I$35,12-5))&gt;0,INDEX('İzin Planı'!$I$6:$I$35,12-5)&lt;=('Özet'!$C$6+7*45)+6,INDEX('İzin Planı'!$J$6:$J$35,12-5)&gt;=('Özet'!$C$6+7*45)),AND(N(INDEX('İzin Planı'!$L$6:$L$35,12-5))&gt;0,INDEX('İzin Planı'!$L$6:$L$35,12-5)&lt;=('Özet'!$C$6+7*45)+6,INDEX('İzin Planı'!$M$6:$M$35,12-5)&gt;=('Özet'!$C$6+7*45))),"İ",""))</f>
      </c>
      <c r="AW12" s="13">
        <f>IF(INDEX('İzin Planı'!$C$6:$C$35,12-5)="","",IF(OR(AND(N(INDEX('İzin Planı'!$F$6:$F$35,12-5))&gt;0,INDEX('İzin Planı'!$F$6:$F$35,12-5)&lt;=('Özet'!$C$6+7*46)+6,INDEX('İzin Planı'!$G$6:$G$35,12-5)&gt;=('Özet'!$C$6+7*46)),AND(N(INDEX('İzin Planı'!$I$6:$I$35,12-5))&gt;0,INDEX('İzin Planı'!$I$6:$I$35,12-5)&lt;=('Özet'!$C$6+7*46)+6,INDEX('İzin Planı'!$J$6:$J$35,12-5)&gt;=('Özet'!$C$6+7*46)),AND(N(INDEX('İzin Planı'!$L$6:$L$35,12-5))&gt;0,INDEX('İzin Planı'!$L$6:$L$35,12-5)&lt;=('Özet'!$C$6+7*46)+6,INDEX('İzin Planı'!$M$6:$M$35,12-5)&gt;=('Özet'!$C$6+7*46))),"İ",""))</f>
      </c>
      <c r="AX12" s="13">
        <f>IF(INDEX('İzin Planı'!$C$6:$C$35,12-5)="","",IF(OR(AND(N(INDEX('İzin Planı'!$F$6:$F$35,12-5))&gt;0,INDEX('İzin Planı'!$F$6:$F$35,12-5)&lt;=('Özet'!$C$6+7*47)+6,INDEX('İzin Planı'!$G$6:$G$35,12-5)&gt;=('Özet'!$C$6+7*47)),AND(N(INDEX('İzin Planı'!$I$6:$I$35,12-5))&gt;0,INDEX('İzin Planı'!$I$6:$I$35,12-5)&lt;=('Özet'!$C$6+7*47)+6,INDEX('İzin Planı'!$J$6:$J$35,12-5)&gt;=('Özet'!$C$6+7*47)),AND(N(INDEX('İzin Planı'!$L$6:$L$35,12-5))&gt;0,INDEX('İzin Planı'!$L$6:$L$35,12-5)&lt;=('Özet'!$C$6+7*47)+6,INDEX('İzin Planı'!$M$6:$M$35,12-5)&gt;=('Özet'!$C$6+7*47))),"İ",""))</f>
      </c>
      <c r="AY12" s="13">
        <f>IF(INDEX('İzin Planı'!$C$6:$C$35,12-5)="","",IF(OR(AND(N(INDEX('İzin Planı'!$F$6:$F$35,12-5))&gt;0,INDEX('İzin Planı'!$F$6:$F$35,12-5)&lt;=('Özet'!$C$6+7*48)+6,INDEX('İzin Planı'!$G$6:$G$35,12-5)&gt;=('Özet'!$C$6+7*48)),AND(N(INDEX('İzin Planı'!$I$6:$I$35,12-5))&gt;0,INDEX('İzin Planı'!$I$6:$I$35,12-5)&lt;=('Özet'!$C$6+7*48)+6,INDEX('İzin Planı'!$J$6:$J$35,12-5)&gt;=('Özet'!$C$6+7*48)),AND(N(INDEX('İzin Planı'!$L$6:$L$35,12-5))&gt;0,INDEX('İzin Planı'!$L$6:$L$35,12-5)&lt;=('Özet'!$C$6+7*48)+6,INDEX('İzin Planı'!$M$6:$M$35,12-5)&gt;=('Özet'!$C$6+7*48))),"İ",""))</f>
      </c>
      <c r="AZ12" s="13">
        <f>IF(INDEX('İzin Planı'!$C$6:$C$35,12-5)="","",IF(OR(AND(N(INDEX('İzin Planı'!$F$6:$F$35,12-5))&gt;0,INDEX('İzin Planı'!$F$6:$F$35,12-5)&lt;=('Özet'!$C$6+7*49)+6,INDEX('İzin Planı'!$G$6:$G$35,12-5)&gt;=('Özet'!$C$6+7*49)),AND(N(INDEX('İzin Planı'!$I$6:$I$35,12-5))&gt;0,INDEX('İzin Planı'!$I$6:$I$35,12-5)&lt;=('Özet'!$C$6+7*49)+6,INDEX('İzin Planı'!$J$6:$J$35,12-5)&gt;=('Özet'!$C$6+7*49)),AND(N(INDEX('İzin Planı'!$L$6:$L$35,12-5))&gt;0,INDEX('İzin Planı'!$L$6:$L$35,12-5)&lt;=('Özet'!$C$6+7*49)+6,INDEX('İzin Planı'!$M$6:$M$35,12-5)&gt;=('Özet'!$C$6+7*49))),"İ",""))</f>
      </c>
      <c r="BA12" s="13">
        <f>IF(INDEX('İzin Planı'!$C$6:$C$35,12-5)="","",IF(OR(AND(N(INDEX('İzin Planı'!$F$6:$F$35,12-5))&gt;0,INDEX('İzin Planı'!$F$6:$F$35,12-5)&lt;=('Özet'!$C$6+7*50)+6,INDEX('İzin Planı'!$G$6:$G$35,12-5)&gt;=('Özet'!$C$6+7*50)),AND(N(INDEX('İzin Planı'!$I$6:$I$35,12-5))&gt;0,INDEX('İzin Planı'!$I$6:$I$35,12-5)&lt;=('Özet'!$C$6+7*50)+6,INDEX('İzin Planı'!$J$6:$J$35,12-5)&gt;=('Özet'!$C$6+7*50)),AND(N(INDEX('İzin Planı'!$L$6:$L$35,12-5))&gt;0,INDEX('İzin Planı'!$L$6:$L$35,12-5)&lt;=('Özet'!$C$6+7*50)+6,INDEX('İzin Planı'!$M$6:$M$35,12-5)&gt;=('Özet'!$C$6+7*50))),"İ",""))</f>
      </c>
      <c r="BB12" s="13">
        <f>IF(INDEX('İzin Planı'!$C$6:$C$35,12-5)="","",IF(OR(AND(N(INDEX('İzin Planı'!$F$6:$F$35,12-5))&gt;0,INDEX('İzin Planı'!$F$6:$F$35,12-5)&lt;=('Özet'!$C$6+7*51)+6,INDEX('İzin Planı'!$G$6:$G$35,12-5)&gt;=('Özet'!$C$6+7*51)),AND(N(INDEX('İzin Planı'!$I$6:$I$35,12-5))&gt;0,INDEX('İzin Planı'!$I$6:$I$35,12-5)&lt;=('Özet'!$C$6+7*51)+6,INDEX('İzin Planı'!$J$6:$J$35,12-5)&gt;=('Özet'!$C$6+7*51)),AND(N(INDEX('İzin Planı'!$L$6:$L$35,12-5))&gt;0,INDEX('İzin Planı'!$L$6:$L$35,12-5)&lt;=('Özet'!$C$6+7*51)+6,INDEX('İzin Planı'!$M$6:$M$35,12-5)&gt;=('Özet'!$C$6+7*51))),"İ",""))</f>
      </c>
      <c r="BC12" s="13">
        <f>IF(INDEX('İzin Planı'!$C$6:$C$35,12-5)="","",IF(OR(AND(N(INDEX('İzin Planı'!$F$6:$F$35,12-5))&gt;0,INDEX('İzin Planı'!$F$6:$F$35,12-5)&lt;=('Özet'!$C$6+7*52)+6,INDEX('İzin Planı'!$G$6:$G$35,12-5)&gt;=('Özet'!$C$6+7*52)),AND(N(INDEX('İzin Planı'!$I$6:$I$35,12-5))&gt;0,INDEX('İzin Planı'!$I$6:$I$35,12-5)&lt;=('Özet'!$C$6+7*52)+6,INDEX('İzin Planı'!$J$6:$J$35,12-5)&gt;=('Özet'!$C$6+7*52)),AND(N(INDEX('İzin Planı'!$L$6:$L$35,12-5))&gt;0,INDEX('İzin Planı'!$L$6:$L$35,12-5)&lt;=('Özet'!$C$6+7*52)+6,INDEX('İzin Planı'!$M$6:$M$35,12-5)&gt;=('Özet'!$C$6+7*52))),"İ",""))</f>
      </c>
    </row>
    <row r="13" ht="18" customHeight="1" spans="1:55" x14ac:dyDescent="0.25">
      <c r="A13" s="6">
        <v>8</v>
      </c>
      <c r="B13" s="13">
        <f>IF(INDEX('İzin Planı'!$C$6:$C$35,13-5)="","",INDEX('İzin Planı'!$C$6:$C$35,13-5))</f>
      </c>
      <c r="C13" s="13">
        <f>IF(INDEX('İzin Planı'!$C$6:$C$35,13-5)="","",IF(OR(AND(N(INDEX('İzin Planı'!$F$6:$F$35,13-5))&gt;0,INDEX('İzin Planı'!$F$6:$F$35,13-5)&lt;=('Özet'!$C$6+7*0)+6,INDEX('İzin Planı'!$G$6:$G$35,13-5)&gt;=('Özet'!$C$6+7*0)),AND(N(INDEX('İzin Planı'!$I$6:$I$35,13-5))&gt;0,INDEX('İzin Planı'!$I$6:$I$35,13-5)&lt;=('Özet'!$C$6+7*0)+6,INDEX('İzin Planı'!$J$6:$J$35,13-5)&gt;=('Özet'!$C$6+7*0)),AND(N(INDEX('İzin Planı'!$L$6:$L$35,13-5))&gt;0,INDEX('İzin Planı'!$L$6:$L$35,13-5)&lt;=('Özet'!$C$6+7*0)+6,INDEX('İzin Planı'!$M$6:$M$35,13-5)&gt;=('Özet'!$C$6+7*0))),"İ",""))</f>
      </c>
      <c r="D13" s="13">
        <f>IF(INDEX('İzin Planı'!$C$6:$C$35,13-5)="","",IF(OR(AND(N(INDEX('İzin Planı'!$F$6:$F$35,13-5))&gt;0,INDEX('İzin Planı'!$F$6:$F$35,13-5)&lt;=('Özet'!$C$6+7*1)+6,INDEX('İzin Planı'!$G$6:$G$35,13-5)&gt;=('Özet'!$C$6+7*1)),AND(N(INDEX('İzin Planı'!$I$6:$I$35,13-5))&gt;0,INDEX('İzin Planı'!$I$6:$I$35,13-5)&lt;=('Özet'!$C$6+7*1)+6,INDEX('İzin Planı'!$J$6:$J$35,13-5)&gt;=('Özet'!$C$6+7*1)),AND(N(INDEX('İzin Planı'!$L$6:$L$35,13-5))&gt;0,INDEX('İzin Planı'!$L$6:$L$35,13-5)&lt;=('Özet'!$C$6+7*1)+6,INDEX('İzin Planı'!$M$6:$M$35,13-5)&gt;=('Özet'!$C$6+7*1))),"İ",""))</f>
      </c>
      <c r="E13" s="13">
        <f>IF(INDEX('İzin Planı'!$C$6:$C$35,13-5)="","",IF(OR(AND(N(INDEX('İzin Planı'!$F$6:$F$35,13-5))&gt;0,INDEX('İzin Planı'!$F$6:$F$35,13-5)&lt;=('Özet'!$C$6+7*2)+6,INDEX('İzin Planı'!$G$6:$G$35,13-5)&gt;=('Özet'!$C$6+7*2)),AND(N(INDEX('İzin Planı'!$I$6:$I$35,13-5))&gt;0,INDEX('İzin Planı'!$I$6:$I$35,13-5)&lt;=('Özet'!$C$6+7*2)+6,INDEX('İzin Planı'!$J$6:$J$35,13-5)&gt;=('Özet'!$C$6+7*2)),AND(N(INDEX('İzin Planı'!$L$6:$L$35,13-5))&gt;0,INDEX('İzin Planı'!$L$6:$L$35,13-5)&lt;=('Özet'!$C$6+7*2)+6,INDEX('İzin Planı'!$M$6:$M$35,13-5)&gt;=('Özet'!$C$6+7*2))),"İ",""))</f>
      </c>
      <c r="F13" s="13">
        <f>IF(INDEX('İzin Planı'!$C$6:$C$35,13-5)="","",IF(OR(AND(N(INDEX('İzin Planı'!$F$6:$F$35,13-5))&gt;0,INDEX('İzin Planı'!$F$6:$F$35,13-5)&lt;=('Özet'!$C$6+7*3)+6,INDEX('İzin Planı'!$G$6:$G$35,13-5)&gt;=('Özet'!$C$6+7*3)),AND(N(INDEX('İzin Planı'!$I$6:$I$35,13-5))&gt;0,INDEX('İzin Planı'!$I$6:$I$35,13-5)&lt;=('Özet'!$C$6+7*3)+6,INDEX('İzin Planı'!$J$6:$J$35,13-5)&gt;=('Özet'!$C$6+7*3)),AND(N(INDEX('İzin Planı'!$L$6:$L$35,13-5))&gt;0,INDEX('İzin Planı'!$L$6:$L$35,13-5)&lt;=('Özet'!$C$6+7*3)+6,INDEX('İzin Planı'!$M$6:$M$35,13-5)&gt;=('Özet'!$C$6+7*3))),"İ",""))</f>
      </c>
      <c r="G13" s="13">
        <f>IF(INDEX('İzin Planı'!$C$6:$C$35,13-5)="","",IF(OR(AND(N(INDEX('İzin Planı'!$F$6:$F$35,13-5))&gt;0,INDEX('İzin Planı'!$F$6:$F$35,13-5)&lt;=('Özet'!$C$6+7*4)+6,INDEX('İzin Planı'!$G$6:$G$35,13-5)&gt;=('Özet'!$C$6+7*4)),AND(N(INDEX('İzin Planı'!$I$6:$I$35,13-5))&gt;0,INDEX('İzin Planı'!$I$6:$I$35,13-5)&lt;=('Özet'!$C$6+7*4)+6,INDEX('İzin Planı'!$J$6:$J$35,13-5)&gt;=('Özet'!$C$6+7*4)),AND(N(INDEX('İzin Planı'!$L$6:$L$35,13-5))&gt;0,INDEX('İzin Planı'!$L$6:$L$35,13-5)&lt;=('Özet'!$C$6+7*4)+6,INDEX('İzin Planı'!$M$6:$M$35,13-5)&gt;=('Özet'!$C$6+7*4))),"İ",""))</f>
      </c>
      <c r="H13" s="13">
        <f>IF(INDEX('İzin Planı'!$C$6:$C$35,13-5)="","",IF(OR(AND(N(INDEX('İzin Planı'!$F$6:$F$35,13-5))&gt;0,INDEX('İzin Planı'!$F$6:$F$35,13-5)&lt;=('Özet'!$C$6+7*5)+6,INDEX('İzin Planı'!$G$6:$G$35,13-5)&gt;=('Özet'!$C$6+7*5)),AND(N(INDEX('İzin Planı'!$I$6:$I$35,13-5))&gt;0,INDEX('İzin Planı'!$I$6:$I$35,13-5)&lt;=('Özet'!$C$6+7*5)+6,INDEX('İzin Planı'!$J$6:$J$35,13-5)&gt;=('Özet'!$C$6+7*5)),AND(N(INDEX('İzin Planı'!$L$6:$L$35,13-5))&gt;0,INDEX('İzin Planı'!$L$6:$L$35,13-5)&lt;=('Özet'!$C$6+7*5)+6,INDEX('İzin Planı'!$M$6:$M$35,13-5)&gt;=('Özet'!$C$6+7*5))),"İ",""))</f>
      </c>
      <c r="I13" s="13">
        <f>IF(INDEX('İzin Planı'!$C$6:$C$35,13-5)="","",IF(OR(AND(N(INDEX('İzin Planı'!$F$6:$F$35,13-5))&gt;0,INDEX('İzin Planı'!$F$6:$F$35,13-5)&lt;=('Özet'!$C$6+7*6)+6,INDEX('İzin Planı'!$G$6:$G$35,13-5)&gt;=('Özet'!$C$6+7*6)),AND(N(INDEX('İzin Planı'!$I$6:$I$35,13-5))&gt;0,INDEX('İzin Planı'!$I$6:$I$35,13-5)&lt;=('Özet'!$C$6+7*6)+6,INDEX('İzin Planı'!$J$6:$J$35,13-5)&gt;=('Özet'!$C$6+7*6)),AND(N(INDEX('İzin Planı'!$L$6:$L$35,13-5))&gt;0,INDEX('İzin Planı'!$L$6:$L$35,13-5)&lt;=('Özet'!$C$6+7*6)+6,INDEX('İzin Planı'!$M$6:$M$35,13-5)&gt;=('Özet'!$C$6+7*6))),"İ",""))</f>
      </c>
      <c r="J13" s="13">
        <f>IF(INDEX('İzin Planı'!$C$6:$C$35,13-5)="","",IF(OR(AND(N(INDEX('İzin Planı'!$F$6:$F$35,13-5))&gt;0,INDEX('İzin Planı'!$F$6:$F$35,13-5)&lt;=('Özet'!$C$6+7*7)+6,INDEX('İzin Planı'!$G$6:$G$35,13-5)&gt;=('Özet'!$C$6+7*7)),AND(N(INDEX('İzin Planı'!$I$6:$I$35,13-5))&gt;0,INDEX('İzin Planı'!$I$6:$I$35,13-5)&lt;=('Özet'!$C$6+7*7)+6,INDEX('İzin Planı'!$J$6:$J$35,13-5)&gt;=('Özet'!$C$6+7*7)),AND(N(INDEX('İzin Planı'!$L$6:$L$35,13-5))&gt;0,INDEX('İzin Planı'!$L$6:$L$35,13-5)&lt;=('Özet'!$C$6+7*7)+6,INDEX('İzin Planı'!$M$6:$M$35,13-5)&gt;=('Özet'!$C$6+7*7))),"İ",""))</f>
      </c>
      <c r="K13" s="13">
        <f>IF(INDEX('İzin Planı'!$C$6:$C$35,13-5)="","",IF(OR(AND(N(INDEX('İzin Planı'!$F$6:$F$35,13-5))&gt;0,INDEX('İzin Planı'!$F$6:$F$35,13-5)&lt;=('Özet'!$C$6+7*8)+6,INDEX('İzin Planı'!$G$6:$G$35,13-5)&gt;=('Özet'!$C$6+7*8)),AND(N(INDEX('İzin Planı'!$I$6:$I$35,13-5))&gt;0,INDEX('İzin Planı'!$I$6:$I$35,13-5)&lt;=('Özet'!$C$6+7*8)+6,INDEX('İzin Planı'!$J$6:$J$35,13-5)&gt;=('Özet'!$C$6+7*8)),AND(N(INDEX('İzin Planı'!$L$6:$L$35,13-5))&gt;0,INDEX('İzin Planı'!$L$6:$L$35,13-5)&lt;=('Özet'!$C$6+7*8)+6,INDEX('İzin Planı'!$M$6:$M$35,13-5)&gt;=('Özet'!$C$6+7*8))),"İ",""))</f>
      </c>
      <c r="L13" s="13">
        <f>IF(INDEX('İzin Planı'!$C$6:$C$35,13-5)="","",IF(OR(AND(N(INDEX('İzin Planı'!$F$6:$F$35,13-5))&gt;0,INDEX('İzin Planı'!$F$6:$F$35,13-5)&lt;=('Özet'!$C$6+7*9)+6,INDEX('İzin Planı'!$G$6:$G$35,13-5)&gt;=('Özet'!$C$6+7*9)),AND(N(INDEX('İzin Planı'!$I$6:$I$35,13-5))&gt;0,INDEX('İzin Planı'!$I$6:$I$35,13-5)&lt;=('Özet'!$C$6+7*9)+6,INDEX('İzin Planı'!$J$6:$J$35,13-5)&gt;=('Özet'!$C$6+7*9)),AND(N(INDEX('İzin Planı'!$L$6:$L$35,13-5))&gt;0,INDEX('İzin Planı'!$L$6:$L$35,13-5)&lt;=('Özet'!$C$6+7*9)+6,INDEX('İzin Planı'!$M$6:$M$35,13-5)&gt;=('Özet'!$C$6+7*9))),"İ",""))</f>
      </c>
      <c r="M13" s="13">
        <f>IF(INDEX('İzin Planı'!$C$6:$C$35,13-5)="","",IF(OR(AND(N(INDEX('İzin Planı'!$F$6:$F$35,13-5))&gt;0,INDEX('İzin Planı'!$F$6:$F$35,13-5)&lt;=('Özet'!$C$6+7*10)+6,INDEX('İzin Planı'!$G$6:$G$35,13-5)&gt;=('Özet'!$C$6+7*10)),AND(N(INDEX('İzin Planı'!$I$6:$I$35,13-5))&gt;0,INDEX('İzin Planı'!$I$6:$I$35,13-5)&lt;=('Özet'!$C$6+7*10)+6,INDEX('İzin Planı'!$J$6:$J$35,13-5)&gt;=('Özet'!$C$6+7*10)),AND(N(INDEX('İzin Planı'!$L$6:$L$35,13-5))&gt;0,INDEX('İzin Planı'!$L$6:$L$35,13-5)&lt;=('Özet'!$C$6+7*10)+6,INDEX('İzin Planı'!$M$6:$M$35,13-5)&gt;=('Özet'!$C$6+7*10))),"İ",""))</f>
      </c>
      <c r="N13" s="13">
        <f>IF(INDEX('İzin Planı'!$C$6:$C$35,13-5)="","",IF(OR(AND(N(INDEX('İzin Planı'!$F$6:$F$35,13-5))&gt;0,INDEX('İzin Planı'!$F$6:$F$35,13-5)&lt;=('Özet'!$C$6+7*11)+6,INDEX('İzin Planı'!$G$6:$G$35,13-5)&gt;=('Özet'!$C$6+7*11)),AND(N(INDEX('İzin Planı'!$I$6:$I$35,13-5))&gt;0,INDEX('İzin Planı'!$I$6:$I$35,13-5)&lt;=('Özet'!$C$6+7*11)+6,INDEX('İzin Planı'!$J$6:$J$35,13-5)&gt;=('Özet'!$C$6+7*11)),AND(N(INDEX('İzin Planı'!$L$6:$L$35,13-5))&gt;0,INDEX('İzin Planı'!$L$6:$L$35,13-5)&lt;=('Özet'!$C$6+7*11)+6,INDEX('İzin Planı'!$M$6:$M$35,13-5)&gt;=('Özet'!$C$6+7*11))),"İ",""))</f>
      </c>
      <c r="O13" s="13">
        <f>IF(INDEX('İzin Planı'!$C$6:$C$35,13-5)="","",IF(OR(AND(N(INDEX('İzin Planı'!$F$6:$F$35,13-5))&gt;0,INDEX('İzin Planı'!$F$6:$F$35,13-5)&lt;=('Özet'!$C$6+7*12)+6,INDEX('İzin Planı'!$G$6:$G$35,13-5)&gt;=('Özet'!$C$6+7*12)),AND(N(INDEX('İzin Planı'!$I$6:$I$35,13-5))&gt;0,INDEX('İzin Planı'!$I$6:$I$35,13-5)&lt;=('Özet'!$C$6+7*12)+6,INDEX('İzin Planı'!$J$6:$J$35,13-5)&gt;=('Özet'!$C$6+7*12)),AND(N(INDEX('İzin Planı'!$L$6:$L$35,13-5))&gt;0,INDEX('İzin Planı'!$L$6:$L$35,13-5)&lt;=('Özet'!$C$6+7*12)+6,INDEX('İzin Planı'!$M$6:$M$35,13-5)&gt;=('Özet'!$C$6+7*12))),"İ",""))</f>
      </c>
      <c r="P13" s="13">
        <f>IF(INDEX('İzin Planı'!$C$6:$C$35,13-5)="","",IF(OR(AND(N(INDEX('İzin Planı'!$F$6:$F$35,13-5))&gt;0,INDEX('İzin Planı'!$F$6:$F$35,13-5)&lt;=('Özet'!$C$6+7*13)+6,INDEX('İzin Planı'!$G$6:$G$35,13-5)&gt;=('Özet'!$C$6+7*13)),AND(N(INDEX('İzin Planı'!$I$6:$I$35,13-5))&gt;0,INDEX('İzin Planı'!$I$6:$I$35,13-5)&lt;=('Özet'!$C$6+7*13)+6,INDEX('İzin Planı'!$J$6:$J$35,13-5)&gt;=('Özet'!$C$6+7*13)),AND(N(INDEX('İzin Planı'!$L$6:$L$35,13-5))&gt;0,INDEX('İzin Planı'!$L$6:$L$35,13-5)&lt;=('Özet'!$C$6+7*13)+6,INDEX('İzin Planı'!$M$6:$M$35,13-5)&gt;=('Özet'!$C$6+7*13))),"İ",""))</f>
      </c>
      <c r="Q13" s="13">
        <f>IF(INDEX('İzin Planı'!$C$6:$C$35,13-5)="","",IF(OR(AND(N(INDEX('İzin Planı'!$F$6:$F$35,13-5))&gt;0,INDEX('İzin Planı'!$F$6:$F$35,13-5)&lt;=('Özet'!$C$6+7*14)+6,INDEX('İzin Planı'!$G$6:$G$35,13-5)&gt;=('Özet'!$C$6+7*14)),AND(N(INDEX('İzin Planı'!$I$6:$I$35,13-5))&gt;0,INDEX('İzin Planı'!$I$6:$I$35,13-5)&lt;=('Özet'!$C$6+7*14)+6,INDEX('İzin Planı'!$J$6:$J$35,13-5)&gt;=('Özet'!$C$6+7*14)),AND(N(INDEX('İzin Planı'!$L$6:$L$35,13-5))&gt;0,INDEX('İzin Planı'!$L$6:$L$35,13-5)&lt;=('Özet'!$C$6+7*14)+6,INDEX('İzin Planı'!$M$6:$M$35,13-5)&gt;=('Özet'!$C$6+7*14))),"İ",""))</f>
      </c>
      <c r="R13" s="13">
        <f>IF(INDEX('İzin Planı'!$C$6:$C$35,13-5)="","",IF(OR(AND(N(INDEX('İzin Planı'!$F$6:$F$35,13-5))&gt;0,INDEX('İzin Planı'!$F$6:$F$35,13-5)&lt;=('Özet'!$C$6+7*15)+6,INDEX('İzin Planı'!$G$6:$G$35,13-5)&gt;=('Özet'!$C$6+7*15)),AND(N(INDEX('İzin Planı'!$I$6:$I$35,13-5))&gt;0,INDEX('İzin Planı'!$I$6:$I$35,13-5)&lt;=('Özet'!$C$6+7*15)+6,INDEX('İzin Planı'!$J$6:$J$35,13-5)&gt;=('Özet'!$C$6+7*15)),AND(N(INDEX('İzin Planı'!$L$6:$L$35,13-5))&gt;0,INDEX('İzin Planı'!$L$6:$L$35,13-5)&lt;=('Özet'!$C$6+7*15)+6,INDEX('İzin Planı'!$M$6:$M$35,13-5)&gt;=('Özet'!$C$6+7*15))),"İ",""))</f>
      </c>
      <c r="S13" s="13">
        <f>IF(INDEX('İzin Planı'!$C$6:$C$35,13-5)="","",IF(OR(AND(N(INDEX('İzin Planı'!$F$6:$F$35,13-5))&gt;0,INDEX('İzin Planı'!$F$6:$F$35,13-5)&lt;=('Özet'!$C$6+7*16)+6,INDEX('İzin Planı'!$G$6:$G$35,13-5)&gt;=('Özet'!$C$6+7*16)),AND(N(INDEX('İzin Planı'!$I$6:$I$35,13-5))&gt;0,INDEX('İzin Planı'!$I$6:$I$35,13-5)&lt;=('Özet'!$C$6+7*16)+6,INDEX('İzin Planı'!$J$6:$J$35,13-5)&gt;=('Özet'!$C$6+7*16)),AND(N(INDEX('İzin Planı'!$L$6:$L$35,13-5))&gt;0,INDEX('İzin Planı'!$L$6:$L$35,13-5)&lt;=('Özet'!$C$6+7*16)+6,INDEX('İzin Planı'!$M$6:$M$35,13-5)&gt;=('Özet'!$C$6+7*16))),"İ",""))</f>
      </c>
      <c r="T13" s="13">
        <f>IF(INDEX('İzin Planı'!$C$6:$C$35,13-5)="","",IF(OR(AND(N(INDEX('İzin Planı'!$F$6:$F$35,13-5))&gt;0,INDEX('İzin Planı'!$F$6:$F$35,13-5)&lt;=('Özet'!$C$6+7*17)+6,INDEX('İzin Planı'!$G$6:$G$35,13-5)&gt;=('Özet'!$C$6+7*17)),AND(N(INDEX('İzin Planı'!$I$6:$I$35,13-5))&gt;0,INDEX('İzin Planı'!$I$6:$I$35,13-5)&lt;=('Özet'!$C$6+7*17)+6,INDEX('İzin Planı'!$J$6:$J$35,13-5)&gt;=('Özet'!$C$6+7*17)),AND(N(INDEX('İzin Planı'!$L$6:$L$35,13-5))&gt;0,INDEX('İzin Planı'!$L$6:$L$35,13-5)&lt;=('Özet'!$C$6+7*17)+6,INDEX('İzin Planı'!$M$6:$M$35,13-5)&gt;=('Özet'!$C$6+7*17))),"İ",""))</f>
      </c>
      <c r="U13" s="13">
        <f>IF(INDEX('İzin Planı'!$C$6:$C$35,13-5)="","",IF(OR(AND(N(INDEX('İzin Planı'!$F$6:$F$35,13-5))&gt;0,INDEX('İzin Planı'!$F$6:$F$35,13-5)&lt;=('Özet'!$C$6+7*18)+6,INDEX('İzin Planı'!$G$6:$G$35,13-5)&gt;=('Özet'!$C$6+7*18)),AND(N(INDEX('İzin Planı'!$I$6:$I$35,13-5))&gt;0,INDEX('İzin Planı'!$I$6:$I$35,13-5)&lt;=('Özet'!$C$6+7*18)+6,INDEX('İzin Planı'!$J$6:$J$35,13-5)&gt;=('Özet'!$C$6+7*18)),AND(N(INDEX('İzin Planı'!$L$6:$L$35,13-5))&gt;0,INDEX('İzin Planı'!$L$6:$L$35,13-5)&lt;=('Özet'!$C$6+7*18)+6,INDEX('İzin Planı'!$M$6:$M$35,13-5)&gt;=('Özet'!$C$6+7*18))),"İ",""))</f>
      </c>
      <c r="V13" s="13">
        <f>IF(INDEX('İzin Planı'!$C$6:$C$35,13-5)="","",IF(OR(AND(N(INDEX('İzin Planı'!$F$6:$F$35,13-5))&gt;0,INDEX('İzin Planı'!$F$6:$F$35,13-5)&lt;=('Özet'!$C$6+7*19)+6,INDEX('İzin Planı'!$G$6:$G$35,13-5)&gt;=('Özet'!$C$6+7*19)),AND(N(INDEX('İzin Planı'!$I$6:$I$35,13-5))&gt;0,INDEX('İzin Planı'!$I$6:$I$35,13-5)&lt;=('Özet'!$C$6+7*19)+6,INDEX('İzin Planı'!$J$6:$J$35,13-5)&gt;=('Özet'!$C$6+7*19)),AND(N(INDEX('İzin Planı'!$L$6:$L$35,13-5))&gt;0,INDEX('İzin Planı'!$L$6:$L$35,13-5)&lt;=('Özet'!$C$6+7*19)+6,INDEX('İzin Planı'!$M$6:$M$35,13-5)&gt;=('Özet'!$C$6+7*19))),"İ",""))</f>
      </c>
      <c r="W13" s="13">
        <f>IF(INDEX('İzin Planı'!$C$6:$C$35,13-5)="","",IF(OR(AND(N(INDEX('İzin Planı'!$F$6:$F$35,13-5))&gt;0,INDEX('İzin Planı'!$F$6:$F$35,13-5)&lt;=('Özet'!$C$6+7*20)+6,INDEX('İzin Planı'!$G$6:$G$35,13-5)&gt;=('Özet'!$C$6+7*20)),AND(N(INDEX('İzin Planı'!$I$6:$I$35,13-5))&gt;0,INDEX('İzin Planı'!$I$6:$I$35,13-5)&lt;=('Özet'!$C$6+7*20)+6,INDEX('İzin Planı'!$J$6:$J$35,13-5)&gt;=('Özet'!$C$6+7*20)),AND(N(INDEX('İzin Planı'!$L$6:$L$35,13-5))&gt;0,INDEX('İzin Planı'!$L$6:$L$35,13-5)&lt;=('Özet'!$C$6+7*20)+6,INDEX('İzin Planı'!$M$6:$M$35,13-5)&gt;=('Özet'!$C$6+7*20))),"İ",""))</f>
      </c>
      <c r="X13" s="13">
        <f>IF(INDEX('İzin Planı'!$C$6:$C$35,13-5)="","",IF(OR(AND(N(INDEX('İzin Planı'!$F$6:$F$35,13-5))&gt;0,INDEX('İzin Planı'!$F$6:$F$35,13-5)&lt;=('Özet'!$C$6+7*21)+6,INDEX('İzin Planı'!$G$6:$G$35,13-5)&gt;=('Özet'!$C$6+7*21)),AND(N(INDEX('İzin Planı'!$I$6:$I$35,13-5))&gt;0,INDEX('İzin Planı'!$I$6:$I$35,13-5)&lt;=('Özet'!$C$6+7*21)+6,INDEX('İzin Planı'!$J$6:$J$35,13-5)&gt;=('Özet'!$C$6+7*21)),AND(N(INDEX('İzin Planı'!$L$6:$L$35,13-5))&gt;0,INDEX('İzin Planı'!$L$6:$L$35,13-5)&lt;=('Özet'!$C$6+7*21)+6,INDEX('İzin Planı'!$M$6:$M$35,13-5)&gt;=('Özet'!$C$6+7*21))),"İ",""))</f>
      </c>
      <c r="Y13" s="13">
        <f>IF(INDEX('İzin Planı'!$C$6:$C$35,13-5)="","",IF(OR(AND(N(INDEX('İzin Planı'!$F$6:$F$35,13-5))&gt;0,INDEX('İzin Planı'!$F$6:$F$35,13-5)&lt;=('Özet'!$C$6+7*22)+6,INDEX('İzin Planı'!$G$6:$G$35,13-5)&gt;=('Özet'!$C$6+7*22)),AND(N(INDEX('İzin Planı'!$I$6:$I$35,13-5))&gt;0,INDEX('İzin Planı'!$I$6:$I$35,13-5)&lt;=('Özet'!$C$6+7*22)+6,INDEX('İzin Planı'!$J$6:$J$35,13-5)&gt;=('Özet'!$C$6+7*22)),AND(N(INDEX('İzin Planı'!$L$6:$L$35,13-5))&gt;0,INDEX('İzin Planı'!$L$6:$L$35,13-5)&lt;=('Özet'!$C$6+7*22)+6,INDEX('İzin Planı'!$M$6:$M$35,13-5)&gt;=('Özet'!$C$6+7*22))),"İ",""))</f>
      </c>
      <c r="Z13" s="13">
        <f>IF(INDEX('İzin Planı'!$C$6:$C$35,13-5)="","",IF(OR(AND(N(INDEX('İzin Planı'!$F$6:$F$35,13-5))&gt;0,INDEX('İzin Planı'!$F$6:$F$35,13-5)&lt;=('Özet'!$C$6+7*23)+6,INDEX('İzin Planı'!$G$6:$G$35,13-5)&gt;=('Özet'!$C$6+7*23)),AND(N(INDEX('İzin Planı'!$I$6:$I$35,13-5))&gt;0,INDEX('İzin Planı'!$I$6:$I$35,13-5)&lt;=('Özet'!$C$6+7*23)+6,INDEX('İzin Planı'!$J$6:$J$35,13-5)&gt;=('Özet'!$C$6+7*23)),AND(N(INDEX('İzin Planı'!$L$6:$L$35,13-5))&gt;0,INDEX('İzin Planı'!$L$6:$L$35,13-5)&lt;=('Özet'!$C$6+7*23)+6,INDEX('İzin Planı'!$M$6:$M$35,13-5)&gt;=('Özet'!$C$6+7*23))),"İ",""))</f>
      </c>
      <c r="AA13" s="13">
        <f>IF(INDEX('İzin Planı'!$C$6:$C$35,13-5)="","",IF(OR(AND(N(INDEX('İzin Planı'!$F$6:$F$35,13-5))&gt;0,INDEX('İzin Planı'!$F$6:$F$35,13-5)&lt;=('Özet'!$C$6+7*24)+6,INDEX('İzin Planı'!$G$6:$G$35,13-5)&gt;=('Özet'!$C$6+7*24)),AND(N(INDEX('İzin Planı'!$I$6:$I$35,13-5))&gt;0,INDEX('İzin Planı'!$I$6:$I$35,13-5)&lt;=('Özet'!$C$6+7*24)+6,INDEX('İzin Planı'!$J$6:$J$35,13-5)&gt;=('Özet'!$C$6+7*24)),AND(N(INDEX('İzin Planı'!$L$6:$L$35,13-5))&gt;0,INDEX('İzin Planı'!$L$6:$L$35,13-5)&lt;=('Özet'!$C$6+7*24)+6,INDEX('İzin Planı'!$M$6:$M$35,13-5)&gt;=('Özet'!$C$6+7*24))),"İ",""))</f>
      </c>
      <c r="AB13" s="13">
        <f>IF(INDEX('İzin Planı'!$C$6:$C$35,13-5)="","",IF(OR(AND(N(INDEX('İzin Planı'!$F$6:$F$35,13-5))&gt;0,INDEX('İzin Planı'!$F$6:$F$35,13-5)&lt;=('Özet'!$C$6+7*25)+6,INDEX('İzin Planı'!$G$6:$G$35,13-5)&gt;=('Özet'!$C$6+7*25)),AND(N(INDEX('İzin Planı'!$I$6:$I$35,13-5))&gt;0,INDEX('İzin Planı'!$I$6:$I$35,13-5)&lt;=('Özet'!$C$6+7*25)+6,INDEX('İzin Planı'!$J$6:$J$35,13-5)&gt;=('Özet'!$C$6+7*25)),AND(N(INDEX('İzin Planı'!$L$6:$L$35,13-5))&gt;0,INDEX('İzin Planı'!$L$6:$L$35,13-5)&lt;=('Özet'!$C$6+7*25)+6,INDEX('İzin Planı'!$M$6:$M$35,13-5)&gt;=('Özet'!$C$6+7*25))),"İ",""))</f>
      </c>
      <c r="AC13" s="13">
        <f>IF(INDEX('İzin Planı'!$C$6:$C$35,13-5)="","",IF(OR(AND(N(INDEX('İzin Planı'!$F$6:$F$35,13-5))&gt;0,INDEX('İzin Planı'!$F$6:$F$35,13-5)&lt;=('Özet'!$C$6+7*26)+6,INDEX('İzin Planı'!$G$6:$G$35,13-5)&gt;=('Özet'!$C$6+7*26)),AND(N(INDEX('İzin Planı'!$I$6:$I$35,13-5))&gt;0,INDEX('İzin Planı'!$I$6:$I$35,13-5)&lt;=('Özet'!$C$6+7*26)+6,INDEX('İzin Planı'!$J$6:$J$35,13-5)&gt;=('Özet'!$C$6+7*26)),AND(N(INDEX('İzin Planı'!$L$6:$L$35,13-5))&gt;0,INDEX('İzin Planı'!$L$6:$L$35,13-5)&lt;=('Özet'!$C$6+7*26)+6,INDEX('İzin Planı'!$M$6:$M$35,13-5)&gt;=('Özet'!$C$6+7*26))),"İ",""))</f>
      </c>
      <c r="AD13" s="13">
        <f>IF(INDEX('İzin Planı'!$C$6:$C$35,13-5)="","",IF(OR(AND(N(INDEX('İzin Planı'!$F$6:$F$35,13-5))&gt;0,INDEX('İzin Planı'!$F$6:$F$35,13-5)&lt;=('Özet'!$C$6+7*27)+6,INDEX('İzin Planı'!$G$6:$G$35,13-5)&gt;=('Özet'!$C$6+7*27)),AND(N(INDEX('İzin Planı'!$I$6:$I$35,13-5))&gt;0,INDEX('İzin Planı'!$I$6:$I$35,13-5)&lt;=('Özet'!$C$6+7*27)+6,INDEX('İzin Planı'!$J$6:$J$35,13-5)&gt;=('Özet'!$C$6+7*27)),AND(N(INDEX('İzin Planı'!$L$6:$L$35,13-5))&gt;0,INDEX('İzin Planı'!$L$6:$L$35,13-5)&lt;=('Özet'!$C$6+7*27)+6,INDEX('İzin Planı'!$M$6:$M$35,13-5)&gt;=('Özet'!$C$6+7*27))),"İ",""))</f>
      </c>
      <c r="AE13" s="13">
        <f>IF(INDEX('İzin Planı'!$C$6:$C$35,13-5)="","",IF(OR(AND(N(INDEX('İzin Planı'!$F$6:$F$35,13-5))&gt;0,INDEX('İzin Planı'!$F$6:$F$35,13-5)&lt;=('Özet'!$C$6+7*28)+6,INDEX('İzin Planı'!$G$6:$G$35,13-5)&gt;=('Özet'!$C$6+7*28)),AND(N(INDEX('İzin Planı'!$I$6:$I$35,13-5))&gt;0,INDEX('İzin Planı'!$I$6:$I$35,13-5)&lt;=('Özet'!$C$6+7*28)+6,INDEX('İzin Planı'!$J$6:$J$35,13-5)&gt;=('Özet'!$C$6+7*28)),AND(N(INDEX('İzin Planı'!$L$6:$L$35,13-5))&gt;0,INDEX('İzin Planı'!$L$6:$L$35,13-5)&lt;=('Özet'!$C$6+7*28)+6,INDEX('İzin Planı'!$M$6:$M$35,13-5)&gt;=('Özet'!$C$6+7*28))),"İ",""))</f>
      </c>
      <c r="AF13" s="13">
        <f>IF(INDEX('İzin Planı'!$C$6:$C$35,13-5)="","",IF(OR(AND(N(INDEX('İzin Planı'!$F$6:$F$35,13-5))&gt;0,INDEX('İzin Planı'!$F$6:$F$35,13-5)&lt;=('Özet'!$C$6+7*29)+6,INDEX('İzin Planı'!$G$6:$G$35,13-5)&gt;=('Özet'!$C$6+7*29)),AND(N(INDEX('İzin Planı'!$I$6:$I$35,13-5))&gt;0,INDEX('İzin Planı'!$I$6:$I$35,13-5)&lt;=('Özet'!$C$6+7*29)+6,INDEX('İzin Planı'!$J$6:$J$35,13-5)&gt;=('Özet'!$C$6+7*29)),AND(N(INDEX('İzin Planı'!$L$6:$L$35,13-5))&gt;0,INDEX('İzin Planı'!$L$6:$L$35,13-5)&lt;=('Özet'!$C$6+7*29)+6,INDEX('İzin Planı'!$M$6:$M$35,13-5)&gt;=('Özet'!$C$6+7*29))),"İ",""))</f>
      </c>
      <c r="AG13" s="13">
        <f>IF(INDEX('İzin Planı'!$C$6:$C$35,13-5)="","",IF(OR(AND(N(INDEX('İzin Planı'!$F$6:$F$35,13-5))&gt;0,INDEX('İzin Planı'!$F$6:$F$35,13-5)&lt;=('Özet'!$C$6+7*30)+6,INDEX('İzin Planı'!$G$6:$G$35,13-5)&gt;=('Özet'!$C$6+7*30)),AND(N(INDEX('İzin Planı'!$I$6:$I$35,13-5))&gt;0,INDEX('İzin Planı'!$I$6:$I$35,13-5)&lt;=('Özet'!$C$6+7*30)+6,INDEX('İzin Planı'!$J$6:$J$35,13-5)&gt;=('Özet'!$C$6+7*30)),AND(N(INDEX('İzin Planı'!$L$6:$L$35,13-5))&gt;0,INDEX('İzin Planı'!$L$6:$L$35,13-5)&lt;=('Özet'!$C$6+7*30)+6,INDEX('İzin Planı'!$M$6:$M$35,13-5)&gt;=('Özet'!$C$6+7*30))),"İ",""))</f>
      </c>
      <c r="AH13" s="13">
        <f>IF(INDEX('İzin Planı'!$C$6:$C$35,13-5)="","",IF(OR(AND(N(INDEX('İzin Planı'!$F$6:$F$35,13-5))&gt;0,INDEX('İzin Planı'!$F$6:$F$35,13-5)&lt;=('Özet'!$C$6+7*31)+6,INDEX('İzin Planı'!$G$6:$G$35,13-5)&gt;=('Özet'!$C$6+7*31)),AND(N(INDEX('İzin Planı'!$I$6:$I$35,13-5))&gt;0,INDEX('İzin Planı'!$I$6:$I$35,13-5)&lt;=('Özet'!$C$6+7*31)+6,INDEX('İzin Planı'!$J$6:$J$35,13-5)&gt;=('Özet'!$C$6+7*31)),AND(N(INDEX('İzin Planı'!$L$6:$L$35,13-5))&gt;0,INDEX('İzin Planı'!$L$6:$L$35,13-5)&lt;=('Özet'!$C$6+7*31)+6,INDEX('İzin Planı'!$M$6:$M$35,13-5)&gt;=('Özet'!$C$6+7*31))),"İ",""))</f>
      </c>
      <c r="AI13" s="13">
        <f>IF(INDEX('İzin Planı'!$C$6:$C$35,13-5)="","",IF(OR(AND(N(INDEX('İzin Planı'!$F$6:$F$35,13-5))&gt;0,INDEX('İzin Planı'!$F$6:$F$35,13-5)&lt;=('Özet'!$C$6+7*32)+6,INDEX('İzin Planı'!$G$6:$G$35,13-5)&gt;=('Özet'!$C$6+7*32)),AND(N(INDEX('İzin Planı'!$I$6:$I$35,13-5))&gt;0,INDEX('İzin Planı'!$I$6:$I$35,13-5)&lt;=('Özet'!$C$6+7*32)+6,INDEX('İzin Planı'!$J$6:$J$35,13-5)&gt;=('Özet'!$C$6+7*32)),AND(N(INDEX('İzin Planı'!$L$6:$L$35,13-5))&gt;0,INDEX('İzin Planı'!$L$6:$L$35,13-5)&lt;=('Özet'!$C$6+7*32)+6,INDEX('İzin Planı'!$M$6:$M$35,13-5)&gt;=('Özet'!$C$6+7*32))),"İ",""))</f>
      </c>
      <c r="AJ13" s="13">
        <f>IF(INDEX('İzin Planı'!$C$6:$C$35,13-5)="","",IF(OR(AND(N(INDEX('İzin Planı'!$F$6:$F$35,13-5))&gt;0,INDEX('İzin Planı'!$F$6:$F$35,13-5)&lt;=('Özet'!$C$6+7*33)+6,INDEX('İzin Planı'!$G$6:$G$35,13-5)&gt;=('Özet'!$C$6+7*33)),AND(N(INDEX('İzin Planı'!$I$6:$I$35,13-5))&gt;0,INDEX('İzin Planı'!$I$6:$I$35,13-5)&lt;=('Özet'!$C$6+7*33)+6,INDEX('İzin Planı'!$J$6:$J$35,13-5)&gt;=('Özet'!$C$6+7*33)),AND(N(INDEX('İzin Planı'!$L$6:$L$35,13-5))&gt;0,INDEX('İzin Planı'!$L$6:$L$35,13-5)&lt;=('Özet'!$C$6+7*33)+6,INDEX('İzin Planı'!$M$6:$M$35,13-5)&gt;=('Özet'!$C$6+7*33))),"İ",""))</f>
      </c>
      <c r="AK13" s="13">
        <f>IF(INDEX('İzin Planı'!$C$6:$C$35,13-5)="","",IF(OR(AND(N(INDEX('İzin Planı'!$F$6:$F$35,13-5))&gt;0,INDEX('İzin Planı'!$F$6:$F$35,13-5)&lt;=('Özet'!$C$6+7*34)+6,INDEX('İzin Planı'!$G$6:$G$35,13-5)&gt;=('Özet'!$C$6+7*34)),AND(N(INDEX('İzin Planı'!$I$6:$I$35,13-5))&gt;0,INDEX('İzin Planı'!$I$6:$I$35,13-5)&lt;=('Özet'!$C$6+7*34)+6,INDEX('İzin Planı'!$J$6:$J$35,13-5)&gt;=('Özet'!$C$6+7*34)),AND(N(INDEX('İzin Planı'!$L$6:$L$35,13-5))&gt;0,INDEX('İzin Planı'!$L$6:$L$35,13-5)&lt;=('Özet'!$C$6+7*34)+6,INDEX('İzin Planı'!$M$6:$M$35,13-5)&gt;=('Özet'!$C$6+7*34))),"İ",""))</f>
      </c>
      <c r="AL13" s="13">
        <f>IF(INDEX('İzin Planı'!$C$6:$C$35,13-5)="","",IF(OR(AND(N(INDEX('İzin Planı'!$F$6:$F$35,13-5))&gt;0,INDEX('İzin Planı'!$F$6:$F$35,13-5)&lt;=('Özet'!$C$6+7*35)+6,INDEX('İzin Planı'!$G$6:$G$35,13-5)&gt;=('Özet'!$C$6+7*35)),AND(N(INDEX('İzin Planı'!$I$6:$I$35,13-5))&gt;0,INDEX('İzin Planı'!$I$6:$I$35,13-5)&lt;=('Özet'!$C$6+7*35)+6,INDEX('İzin Planı'!$J$6:$J$35,13-5)&gt;=('Özet'!$C$6+7*35)),AND(N(INDEX('İzin Planı'!$L$6:$L$35,13-5))&gt;0,INDEX('İzin Planı'!$L$6:$L$35,13-5)&lt;=('Özet'!$C$6+7*35)+6,INDEX('İzin Planı'!$M$6:$M$35,13-5)&gt;=('Özet'!$C$6+7*35))),"İ",""))</f>
      </c>
      <c r="AM13" s="13">
        <f>IF(INDEX('İzin Planı'!$C$6:$C$35,13-5)="","",IF(OR(AND(N(INDEX('İzin Planı'!$F$6:$F$35,13-5))&gt;0,INDEX('İzin Planı'!$F$6:$F$35,13-5)&lt;=('Özet'!$C$6+7*36)+6,INDEX('İzin Planı'!$G$6:$G$35,13-5)&gt;=('Özet'!$C$6+7*36)),AND(N(INDEX('İzin Planı'!$I$6:$I$35,13-5))&gt;0,INDEX('İzin Planı'!$I$6:$I$35,13-5)&lt;=('Özet'!$C$6+7*36)+6,INDEX('İzin Planı'!$J$6:$J$35,13-5)&gt;=('Özet'!$C$6+7*36)),AND(N(INDEX('İzin Planı'!$L$6:$L$35,13-5))&gt;0,INDEX('İzin Planı'!$L$6:$L$35,13-5)&lt;=('Özet'!$C$6+7*36)+6,INDEX('İzin Planı'!$M$6:$M$35,13-5)&gt;=('Özet'!$C$6+7*36))),"İ",""))</f>
      </c>
      <c r="AN13" s="13">
        <f>IF(INDEX('İzin Planı'!$C$6:$C$35,13-5)="","",IF(OR(AND(N(INDEX('İzin Planı'!$F$6:$F$35,13-5))&gt;0,INDEX('İzin Planı'!$F$6:$F$35,13-5)&lt;=('Özet'!$C$6+7*37)+6,INDEX('İzin Planı'!$G$6:$G$35,13-5)&gt;=('Özet'!$C$6+7*37)),AND(N(INDEX('İzin Planı'!$I$6:$I$35,13-5))&gt;0,INDEX('İzin Planı'!$I$6:$I$35,13-5)&lt;=('Özet'!$C$6+7*37)+6,INDEX('İzin Planı'!$J$6:$J$35,13-5)&gt;=('Özet'!$C$6+7*37)),AND(N(INDEX('İzin Planı'!$L$6:$L$35,13-5))&gt;0,INDEX('İzin Planı'!$L$6:$L$35,13-5)&lt;=('Özet'!$C$6+7*37)+6,INDEX('İzin Planı'!$M$6:$M$35,13-5)&gt;=('Özet'!$C$6+7*37))),"İ",""))</f>
      </c>
      <c r="AO13" s="13">
        <f>IF(INDEX('İzin Planı'!$C$6:$C$35,13-5)="","",IF(OR(AND(N(INDEX('İzin Planı'!$F$6:$F$35,13-5))&gt;0,INDEX('İzin Planı'!$F$6:$F$35,13-5)&lt;=('Özet'!$C$6+7*38)+6,INDEX('İzin Planı'!$G$6:$G$35,13-5)&gt;=('Özet'!$C$6+7*38)),AND(N(INDEX('İzin Planı'!$I$6:$I$35,13-5))&gt;0,INDEX('İzin Planı'!$I$6:$I$35,13-5)&lt;=('Özet'!$C$6+7*38)+6,INDEX('İzin Planı'!$J$6:$J$35,13-5)&gt;=('Özet'!$C$6+7*38)),AND(N(INDEX('İzin Planı'!$L$6:$L$35,13-5))&gt;0,INDEX('İzin Planı'!$L$6:$L$35,13-5)&lt;=('Özet'!$C$6+7*38)+6,INDEX('İzin Planı'!$M$6:$M$35,13-5)&gt;=('Özet'!$C$6+7*38))),"İ",""))</f>
      </c>
      <c r="AP13" s="13">
        <f>IF(INDEX('İzin Planı'!$C$6:$C$35,13-5)="","",IF(OR(AND(N(INDEX('İzin Planı'!$F$6:$F$35,13-5))&gt;0,INDEX('İzin Planı'!$F$6:$F$35,13-5)&lt;=('Özet'!$C$6+7*39)+6,INDEX('İzin Planı'!$G$6:$G$35,13-5)&gt;=('Özet'!$C$6+7*39)),AND(N(INDEX('İzin Planı'!$I$6:$I$35,13-5))&gt;0,INDEX('İzin Planı'!$I$6:$I$35,13-5)&lt;=('Özet'!$C$6+7*39)+6,INDEX('İzin Planı'!$J$6:$J$35,13-5)&gt;=('Özet'!$C$6+7*39)),AND(N(INDEX('İzin Planı'!$L$6:$L$35,13-5))&gt;0,INDEX('İzin Planı'!$L$6:$L$35,13-5)&lt;=('Özet'!$C$6+7*39)+6,INDEX('İzin Planı'!$M$6:$M$35,13-5)&gt;=('Özet'!$C$6+7*39))),"İ",""))</f>
      </c>
      <c r="AQ13" s="13">
        <f>IF(INDEX('İzin Planı'!$C$6:$C$35,13-5)="","",IF(OR(AND(N(INDEX('İzin Planı'!$F$6:$F$35,13-5))&gt;0,INDEX('İzin Planı'!$F$6:$F$35,13-5)&lt;=('Özet'!$C$6+7*40)+6,INDEX('İzin Planı'!$G$6:$G$35,13-5)&gt;=('Özet'!$C$6+7*40)),AND(N(INDEX('İzin Planı'!$I$6:$I$35,13-5))&gt;0,INDEX('İzin Planı'!$I$6:$I$35,13-5)&lt;=('Özet'!$C$6+7*40)+6,INDEX('İzin Planı'!$J$6:$J$35,13-5)&gt;=('Özet'!$C$6+7*40)),AND(N(INDEX('İzin Planı'!$L$6:$L$35,13-5))&gt;0,INDEX('İzin Planı'!$L$6:$L$35,13-5)&lt;=('Özet'!$C$6+7*40)+6,INDEX('İzin Planı'!$M$6:$M$35,13-5)&gt;=('Özet'!$C$6+7*40))),"İ",""))</f>
      </c>
      <c r="AR13" s="13">
        <f>IF(INDEX('İzin Planı'!$C$6:$C$35,13-5)="","",IF(OR(AND(N(INDEX('İzin Planı'!$F$6:$F$35,13-5))&gt;0,INDEX('İzin Planı'!$F$6:$F$35,13-5)&lt;=('Özet'!$C$6+7*41)+6,INDEX('İzin Planı'!$G$6:$G$35,13-5)&gt;=('Özet'!$C$6+7*41)),AND(N(INDEX('İzin Planı'!$I$6:$I$35,13-5))&gt;0,INDEX('İzin Planı'!$I$6:$I$35,13-5)&lt;=('Özet'!$C$6+7*41)+6,INDEX('İzin Planı'!$J$6:$J$35,13-5)&gt;=('Özet'!$C$6+7*41)),AND(N(INDEX('İzin Planı'!$L$6:$L$35,13-5))&gt;0,INDEX('İzin Planı'!$L$6:$L$35,13-5)&lt;=('Özet'!$C$6+7*41)+6,INDEX('İzin Planı'!$M$6:$M$35,13-5)&gt;=('Özet'!$C$6+7*41))),"İ",""))</f>
      </c>
      <c r="AS13" s="13">
        <f>IF(INDEX('İzin Planı'!$C$6:$C$35,13-5)="","",IF(OR(AND(N(INDEX('İzin Planı'!$F$6:$F$35,13-5))&gt;0,INDEX('İzin Planı'!$F$6:$F$35,13-5)&lt;=('Özet'!$C$6+7*42)+6,INDEX('İzin Planı'!$G$6:$G$35,13-5)&gt;=('Özet'!$C$6+7*42)),AND(N(INDEX('İzin Planı'!$I$6:$I$35,13-5))&gt;0,INDEX('İzin Planı'!$I$6:$I$35,13-5)&lt;=('Özet'!$C$6+7*42)+6,INDEX('İzin Planı'!$J$6:$J$35,13-5)&gt;=('Özet'!$C$6+7*42)),AND(N(INDEX('İzin Planı'!$L$6:$L$35,13-5))&gt;0,INDEX('İzin Planı'!$L$6:$L$35,13-5)&lt;=('Özet'!$C$6+7*42)+6,INDEX('İzin Planı'!$M$6:$M$35,13-5)&gt;=('Özet'!$C$6+7*42))),"İ",""))</f>
      </c>
      <c r="AT13" s="13">
        <f>IF(INDEX('İzin Planı'!$C$6:$C$35,13-5)="","",IF(OR(AND(N(INDEX('İzin Planı'!$F$6:$F$35,13-5))&gt;0,INDEX('İzin Planı'!$F$6:$F$35,13-5)&lt;=('Özet'!$C$6+7*43)+6,INDEX('İzin Planı'!$G$6:$G$35,13-5)&gt;=('Özet'!$C$6+7*43)),AND(N(INDEX('İzin Planı'!$I$6:$I$35,13-5))&gt;0,INDEX('İzin Planı'!$I$6:$I$35,13-5)&lt;=('Özet'!$C$6+7*43)+6,INDEX('İzin Planı'!$J$6:$J$35,13-5)&gt;=('Özet'!$C$6+7*43)),AND(N(INDEX('İzin Planı'!$L$6:$L$35,13-5))&gt;0,INDEX('İzin Planı'!$L$6:$L$35,13-5)&lt;=('Özet'!$C$6+7*43)+6,INDEX('İzin Planı'!$M$6:$M$35,13-5)&gt;=('Özet'!$C$6+7*43))),"İ",""))</f>
      </c>
      <c r="AU13" s="13">
        <f>IF(INDEX('İzin Planı'!$C$6:$C$35,13-5)="","",IF(OR(AND(N(INDEX('İzin Planı'!$F$6:$F$35,13-5))&gt;0,INDEX('İzin Planı'!$F$6:$F$35,13-5)&lt;=('Özet'!$C$6+7*44)+6,INDEX('İzin Planı'!$G$6:$G$35,13-5)&gt;=('Özet'!$C$6+7*44)),AND(N(INDEX('İzin Planı'!$I$6:$I$35,13-5))&gt;0,INDEX('İzin Planı'!$I$6:$I$35,13-5)&lt;=('Özet'!$C$6+7*44)+6,INDEX('İzin Planı'!$J$6:$J$35,13-5)&gt;=('Özet'!$C$6+7*44)),AND(N(INDEX('İzin Planı'!$L$6:$L$35,13-5))&gt;0,INDEX('İzin Planı'!$L$6:$L$35,13-5)&lt;=('Özet'!$C$6+7*44)+6,INDEX('İzin Planı'!$M$6:$M$35,13-5)&gt;=('Özet'!$C$6+7*44))),"İ",""))</f>
      </c>
      <c r="AV13" s="13">
        <f>IF(INDEX('İzin Planı'!$C$6:$C$35,13-5)="","",IF(OR(AND(N(INDEX('İzin Planı'!$F$6:$F$35,13-5))&gt;0,INDEX('İzin Planı'!$F$6:$F$35,13-5)&lt;=('Özet'!$C$6+7*45)+6,INDEX('İzin Planı'!$G$6:$G$35,13-5)&gt;=('Özet'!$C$6+7*45)),AND(N(INDEX('İzin Planı'!$I$6:$I$35,13-5))&gt;0,INDEX('İzin Planı'!$I$6:$I$35,13-5)&lt;=('Özet'!$C$6+7*45)+6,INDEX('İzin Planı'!$J$6:$J$35,13-5)&gt;=('Özet'!$C$6+7*45)),AND(N(INDEX('İzin Planı'!$L$6:$L$35,13-5))&gt;0,INDEX('İzin Planı'!$L$6:$L$35,13-5)&lt;=('Özet'!$C$6+7*45)+6,INDEX('İzin Planı'!$M$6:$M$35,13-5)&gt;=('Özet'!$C$6+7*45))),"İ",""))</f>
      </c>
      <c r="AW13" s="13">
        <f>IF(INDEX('İzin Planı'!$C$6:$C$35,13-5)="","",IF(OR(AND(N(INDEX('İzin Planı'!$F$6:$F$35,13-5))&gt;0,INDEX('İzin Planı'!$F$6:$F$35,13-5)&lt;=('Özet'!$C$6+7*46)+6,INDEX('İzin Planı'!$G$6:$G$35,13-5)&gt;=('Özet'!$C$6+7*46)),AND(N(INDEX('İzin Planı'!$I$6:$I$35,13-5))&gt;0,INDEX('İzin Planı'!$I$6:$I$35,13-5)&lt;=('Özet'!$C$6+7*46)+6,INDEX('İzin Planı'!$J$6:$J$35,13-5)&gt;=('Özet'!$C$6+7*46)),AND(N(INDEX('İzin Planı'!$L$6:$L$35,13-5))&gt;0,INDEX('İzin Planı'!$L$6:$L$35,13-5)&lt;=('Özet'!$C$6+7*46)+6,INDEX('İzin Planı'!$M$6:$M$35,13-5)&gt;=('Özet'!$C$6+7*46))),"İ",""))</f>
      </c>
      <c r="AX13" s="13">
        <f>IF(INDEX('İzin Planı'!$C$6:$C$35,13-5)="","",IF(OR(AND(N(INDEX('İzin Planı'!$F$6:$F$35,13-5))&gt;0,INDEX('İzin Planı'!$F$6:$F$35,13-5)&lt;=('Özet'!$C$6+7*47)+6,INDEX('İzin Planı'!$G$6:$G$35,13-5)&gt;=('Özet'!$C$6+7*47)),AND(N(INDEX('İzin Planı'!$I$6:$I$35,13-5))&gt;0,INDEX('İzin Planı'!$I$6:$I$35,13-5)&lt;=('Özet'!$C$6+7*47)+6,INDEX('İzin Planı'!$J$6:$J$35,13-5)&gt;=('Özet'!$C$6+7*47)),AND(N(INDEX('İzin Planı'!$L$6:$L$35,13-5))&gt;0,INDEX('İzin Planı'!$L$6:$L$35,13-5)&lt;=('Özet'!$C$6+7*47)+6,INDEX('İzin Planı'!$M$6:$M$35,13-5)&gt;=('Özet'!$C$6+7*47))),"İ",""))</f>
      </c>
      <c r="AY13" s="13">
        <f>IF(INDEX('İzin Planı'!$C$6:$C$35,13-5)="","",IF(OR(AND(N(INDEX('İzin Planı'!$F$6:$F$35,13-5))&gt;0,INDEX('İzin Planı'!$F$6:$F$35,13-5)&lt;=('Özet'!$C$6+7*48)+6,INDEX('İzin Planı'!$G$6:$G$35,13-5)&gt;=('Özet'!$C$6+7*48)),AND(N(INDEX('İzin Planı'!$I$6:$I$35,13-5))&gt;0,INDEX('İzin Planı'!$I$6:$I$35,13-5)&lt;=('Özet'!$C$6+7*48)+6,INDEX('İzin Planı'!$J$6:$J$35,13-5)&gt;=('Özet'!$C$6+7*48)),AND(N(INDEX('İzin Planı'!$L$6:$L$35,13-5))&gt;0,INDEX('İzin Planı'!$L$6:$L$35,13-5)&lt;=('Özet'!$C$6+7*48)+6,INDEX('İzin Planı'!$M$6:$M$35,13-5)&gt;=('Özet'!$C$6+7*48))),"İ",""))</f>
      </c>
      <c r="AZ13" s="13">
        <f>IF(INDEX('İzin Planı'!$C$6:$C$35,13-5)="","",IF(OR(AND(N(INDEX('İzin Planı'!$F$6:$F$35,13-5))&gt;0,INDEX('İzin Planı'!$F$6:$F$35,13-5)&lt;=('Özet'!$C$6+7*49)+6,INDEX('İzin Planı'!$G$6:$G$35,13-5)&gt;=('Özet'!$C$6+7*49)),AND(N(INDEX('İzin Planı'!$I$6:$I$35,13-5))&gt;0,INDEX('İzin Planı'!$I$6:$I$35,13-5)&lt;=('Özet'!$C$6+7*49)+6,INDEX('İzin Planı'!$J$6:$J$35,13-5)&gt;=('Özet'!$C$6+7*49)),AND(N(INDEX('İzin Planı'!$L$6:$L$35,13-5))&gt;0,INDEX('İzin Planı'!$L$6:$L$35,13-5)&lt;=('Özet'!$C$6+7*49)+6,INDEX('İzin Planı'!$M$6:$M$35,13-5)&gt;=('Özet'!$C$6+7*49))),"İ",""))</f>
      </c>
      <c r="BA13" s="13">
        <f>IF(INDEX('İzin Planı'!$C$6:$C$35,13-5)="","",IF(OR(AND(N(INDEX('İzin Planı'!$F$6:$F$35,13-5))&gt;0,INDEX('İzin Planı'!$F$6:$F$35,13-5)&lt;=('Özet'!$C$6+7*50)+6,INDEX('İzin Planı'!$G$6:$G$35,13-5)&gt;=('Özet'!$C$6+7*50)),AND(N(INDEX('İzin Planı'!$I$6:$I$35,13-5))&gt;0,INDEX('İzin Planı'!$I$6:$I$35,13-5)&lt;=('Özet'!$C$6+7*50)+6,INDEX('İzin Planı'!$J$6:$J$35,13-5)&gt;=('Özet'!$C$6+7*50)),AND(N(INDEX('İzin Planı'!$L$6:$L$35,13-5))&gt;0,INDEX('İzin Planı'!$L$6:$L$35,13-5)&lt;=('Özet'!$C$6+7*50)+6,INDEX('İzin Planı'!$M$6:$M$35,13-5)&gt;=('Özet'!$C$6+7*50))),"İ",""))</f>
      </c>
      <c r="BB13" s="13">
        <f>IF(INDEX('İzin Planı'!$C$6:$C$35,13-5)="","",IF(OR(AND(N(INDEX('İzin Planı'!$F$6:$F$35,13-5))&gt;0,INDEX('İzin Planı'!$F$6:$F$35,13-5)&lt;=('Özet'!$C$6+7*51)+6,INDEX('İzin Planı'!$G$6:$G$35,13-5)&gt;=('Özet'!$C$6+7*51)),AND(N(INDEX('İzin Planı'!$I$6:$I$35,13-5))&gt;0,INDEX('İzin Planı'!$I$6:$I$35,13-5)&lt;=('Özet'!$C$6+7*51)+6,INDEX('İzin Planı'!$J$6:$J$35,13-5)&gt;=('Özet'!$C$6+7*51)),AND(N(INDEX('İzin Planı'!$L$6:$L$35,13-5))&gt;0,INDEX('İzin Planı'!$L$6:$L$35,13-5)&lt;=('Özet'!$C$6+7*51)+6,INDEX('İzin Planı'!$M$6:$M$35,13-5)&gt;=('Özet'!$C$6+7*51))),"İ",""))</f>
      </c>
      <c r="BC13" s="13">
        <f>IF(INDEX('İzin Planı'!$C$6:$C$35,13-5)="","",IF(OR(AND(N(INDEX('İzin Planı'!$F$6:$F$35,13-5))&gt;0,INDEX('İzin Planı'!$F$6:$F$35,13-5)&lt;=('Özet'!$C$6+7*52)+6,INDEX('İzin Planı'!$G$6:$G$35,13-5)&gt;=('Özet'!$C$6+7*52)),AND(N(INDEX('İzin Planı'!$I$6:$I$35,13-5))&gt;0,INDEX('İzin Planı'!$I$6:$I$35,13-5)&lt;=('Özet'!$C$6+7*52)+6,INDEX('İzin Planı'!$J$6:$J$35,13-5)&gt;=('Özet'!$C$6+7*52)),AND(N(INDEX('İzin Planı'!$L$6:$L$35,13-5))&gt;0,INDEX('İzin Planı'!$L$6:$L$35,13-5)&lt;=('Özet'!$C$6+7*52)+6,INDEX('İzin Planı'!$M$6:$M$35,13-5)&gt;=('Özet'!$C$6+7*52))),"İ",""))</f>
      </c>
    </row>
    <row r="14" ht="18" customHeight="1" spans="1:55" x14ac:dyDescent="0.25">
      <c r="A14" s="6">
        <v>9</v>
      </c>
      <c r="B14" s="13">
        <f>IF(INDEX('İzin Planı'!$C$6:$C$35,14-5)="","",INDEX('İzin Planı'!$C$6:$C$35,14-5))</f>
      </c>
      <c r="C14" s="13">
        <f>IF(INDEX('İzin Planı'!$C$6:$C$35,14-5)="","",IF(OR(AND(N(INDEX('İzin Planı'!$F$6:$F$35,14-5))&gt;0,INDEX('İzin Planı'!$F$6:$F$35,14-5)&lt;=('Özet'!$C$6+7*0)+6,INDEX('İzin Planı'!$G$6:$G$35,14-5)&gt;=('Özet'!$C$6+7*0)),AND(N(INDEX('İzin Planı'!$I$6:$I$35,14-5))&gt;0,INDEX('İzin Planı'!$I$6:$I$35,14-5)&lt;=('Özet'!$C$6+7*0)+6,INDEX('İzin Planı'!$J$6:$J$35,14-5)&gt;=('Özet'!$C$6+7*0)),AND(N(INDEX('İzin Planı'!$L$6:$L$35,14-5))&gt;0,INDEX('İzin Planı'!$L$6:$L$35,14-5)&lt;=('Özet'!$C$6+7*0)+6,INDEX('İzin Planı'!$M$6:$M$35,14-5)&gt;=('Özet'!$C$6+7*0))),"İ",""))</f>
      </c>
      <c r="D14" s="13">
        <f>IF(INDEX('İzin Planı'!$C$6:$C$35,14-5)="","",IF(OR(AND(N(INDEX('İzin Planı'!$F$6:$F$35,14-5))&gt;0,INDEX('İzin Planı'!$F$6:$F$35,14-5)&lt;=('Özet'!$C$6+7*1)+6,INDEX('İzin Planı'!$G$6:$G$35,14-5)&gt;=('Özet'!$C$6+7*1)),AND(N(INDEX('İzin Planı'!$I$6:$I$35,14-5))&gt;0,INDEX('İzin Planı'!$I$6:$I$35,14-5)&lt;=('Özet'!$C$6+7*1)+6,INDEX('İzin Planı'!$J$6:$J$35,14-5)&gt;=('Özet'!$C$6+7*1)),AND(N(INDEX('İzin Planı'!$L$6:$L$35,14-5))&gt;0,INDEX('İzin Planı'!$L$6:$L$35,14-5)&lt;=('Özet'!$C$6+7*1)+6,INDEX('İzin Planı'!$M$6:$M$35,14-5)&gt;=('Özet'!$C$6+7*1))),"İ",""))</f>
      </c>
      <c r="E14" s="13">
        <f>IF(INDEX('İzin Planı'!$C$6:$C$35,14-5)="","",IF(OR(AND(N(INDEX('İzin Planı'!$F$6:$F$35,14-5))&gt;0,INDEX('İzin Planı'!$F$6:$F$35,14-5)&lt;=('Özet'!$C$6+7*2)+6,INDEX('İzin Planı'!$G$6:$G$35,14-5)&gt;=('Özet'!$C$6+7*2)),AND(N(INDEX('İzin Planı'!$I$6:$I$35,14-5))&gt;0,INDEX('İzin Planı'!$I$6:$I$35,14-5)&lt;=('Özet'!$C$6+7*2)+6,INDEX('İzin Planı'!$J$6:$J$35,14-5)&gt;=('Özet'!$C$6+7*2)),AND(N(INDEX('İzin Planı'!$L$6:$L$35,14-5))&gt;0,INDEX('İzin Planı'!$L$6:$L$35,14-5)&lt;=('Özet'!$C$6+7*2)+6,INDEX('İzin Planı'!$M$6:$M$35,14-5)&gt;=('Özet'!$C$6+7*2))),"İ",""))</f>
      </c>
      <c r="F14" s="13">
        <f>IF(INDEX('İzin Planı'!$C$6:$C$35,14-5)="","",IF(OR(AND(N(INDEX('İzin Planı'!$F$6:$F$35,14-5))&gt;0,INDEX('İzin Planı'!$F$6:$F$35,14-5)&lt;=('Özet'!$C$6+7*3)+6,INDEX('İzin Planı'!$G$6:$G$35,14-5)&gt;=('Özet'!$C$6+7*3)),AND(N(INDEX('İzin Planı'!$I$6:$I$35,14-5))&gt;0,INDEX('İzin Planı'!$I$6:$I$35,14-5)&lt;=('Özet'!$C$6+7*3)+6,INDEX('İzin Planı'!$J$6:$J$35,14-5)&gt;=('Özet'!$C$6+7*3)),AND(N(INDEX('İzin Planı'!$L$6:$L$35,14-5))&gt;0,INDEX('İzin Planı'!$L$6:$L$35,14-5)&lt;=('Özet'!$C$6+7*3)+6,INDEX('İzin Planı'!$M$6:$M$35,14-5)&gt;=('Özet'!$C$6+7*3))),"İ",""))</f>
      </c>
      <c r="G14" s="13">
        <f>IF(INDEX('İzin Planı'!$C$6:$C$35,14-5)="","",IF(OR(AND(N(INDEX('İzin Planı'!$F$6:$F$35,14-5))&gt;0,INDEX('İzin Planı'!$F$6:$F$35,14-5)&lt;=('Özet'!$C$6+7*4)+6,INDEX('İzin Planı'!$G$6:$G$35,14-5)&gt;=('Özet'!$C$6+7*4)),AND(N(INDEX('İzin Planı'!$I$6:$I$35,14-5))&gt;0,INDEX('İzin Planı'!$I$6:$I$35,14-5)&lt;=('Özet'!$C$6+7*4)+6,INDEX('İzin Planı'!$J$6:$J$35,14-5)&gt;=('Özet'!$C$6+7*4)),AND(N(INDEX('İzin Planı'!$L$6:$L$35,14-5))&gt;0,INDEX('İzin Planı'!$L$6:$L$35,14-5)&lt;=('Özet'!$C$6+7*4)+6,INDEX('İzin Planı'!$M$6:$M$35,14-5)&gt;=('Özet'!$C$6+7*4))),"İ",""))</f>
      </c>
      <c r="H14" s="13">
        <f>IF(INDEX('İzin Planı'!$C$6:$C$35,14-5)="","",IF(OR(AND(N(INDEX('İzin Planı'!$F$6:$F$35,14-5))&gt;0,INDEX('İzin Planı'!$F$6:$F$35,14-5)&lt;=('Özet'!$C$6+7*5)+6,INDEX('İzin Planı'!$G$6:$G$35,14-5)&gt;=('Özet'!$C$6+7*5)),AND(N(INDEX('İzin Planı'!$I$6:$I$35,14-5))&gt;0,INDEX('İzin Planı'!$I$6:$I$35,14-5)&lt;=('Özet'!$C$6+7*5)+6,INDEX('İzin Planı'!$J$6:$J$35,14-5)&gt;=('Özet'!$C$6+7*5)),AND(N(INDEX('İzin Planı'!$L$6:$L$35,14-5))&gt;0,INDEX('İzin Planı'!$L$6:$L$35,14-5)&lt;=('Özet'!$C$6+7*5)+6,INDEX('İzin Planı'!$M$6:$M$35,14-5)&gt;=('Özet'!$C$6+7*5))),"İ",""))</f>
      </c>
      <c r="I14" s="13">
        <f>IF(INDEX('İzin Planı'!$C$6:$C$35,14-5)="","",IF(OR(AND(N(INDEX('İzin Planı'!$F$6:$F$35,14-5))&gt;0,INDEX('İzin Planı'!$F$6:$F$35,14-5)&lt;=('Özet'!$C$6+7*6)+6,INDEX('İzin Planı'!$G$6:$G$35,14-5)&gt;=('Özet'!$C$6+7*6)),AND(N(INDEX('İzin Planı'!$I$6:$I$35,14-5))&gt;0,INDEX('İzin Planı'!$I$6:$I$35,14-5)&lt;=('Özet'!$C$6+7*6)+6,INDEX('İzin Planı'!$J$6:$J$35,14-5)&gt;=('Özet'!$C$6+7*6)),AND(N(INDEX('İzin Planı'!$L$6:$L$35,14-5))&gt;0,INDEX('İzin Planı'!$L$6:$L$35,14-5)&lt;=('Özet'!$C$6+7*6)+6,INDEX('İzin Planı'!$M$6:$M$35,14-5)&gt;=('Özet'!$C$6+7*6))),"İ",""))</f>
      </c>
      <c r="J14" s="13">
        <f>IF(INDEX('İzin Planı'!$C$6:$C$35,14-5)="","",IF(OR(AND(N(INDEX('İzin Planı'!$F$6:$F$35,14-5))&gt;0,INDEX('İzin Planı'!$F$6:$F$35,14-5)&lt;=('Özet'!$C$6+7*7)+6,INDEX('İzin Planı'!$G$6:$G$35,14-5)&gt;=('Özet'!$C$6+7*7)),AND(N(INDEX('İzin Planı'!$I$6:$I$35,14-5))&gt;0,INDEX('İzin Planı'!$I$6:$I$35,14-5)&lt;=('Özet'!$C$6+7*7)+6,INDEX('İzin Planı'!$J$6:$J$35,14-5)&gt;=('Özet'!$C$6+7*7)),AND(N(INDEX('İzin Planı'!$L$6:$L$35,14-5))&gt;0,INDEX('İzin Planı'!$L$6:$L$35,14-5)&lt;=('Özet'!$C$6+7*7)+6,INDEX('İzin Planı'!$M$6:$M$35,14-5)&gt;=('Özet'!$C$6+7*7))),"İ",""))</f>
      </c>
      <c r="K14" s="13">
        <f>IF(INDEX('İzin Planı'!$C$6:$C$35,14-5)="","",IF(OR(AND(N(INDEX('İzin Planı'!$F$6:$F$35,14-5))&gt;0,INDEX('İzin Planı'!$F$6:$F$35,14-5)&lt;=('Özet'!$C$6+7*8)+6,INDEX('İzin Planı'!$G$6:$G$35,14-5)&gt;=('Özet'!$C$6+7*8)),AND(N(INDEX('İzin Planı'!$I$6:$I$35,14-5))&gt;0,INDEX('İzin Planı'!$I$6:$I$35,14-5)&lt;=('Özet'!$C$6+7*8)+6,INDEX('İzin Planı'!$J$6:$J$35,14-5)&gt;=('Özet'!$C$6+7*8)),AND(N(INDEX('İzin Planı'!$L$6:$L$35,14-5))&gt;0,INDEX('İzin Planı'!$L$6:$L$35,14-5)&lt;=('Özet'!$C$6+7*8)+6,INDEX('İzin Planı'!$M$6:$M$35,14-5)&gt;=('Özet'!$C$6+7*8))),"İ",""))</f>
      </c>
      <c r="L14" s="13">
        <f>IF(INDEX('İzin Planı'!$C$6:$C$35,14-5)="","",IF(OR(AND(N(INDEX('İzin Planı'!$F$6:$F$35,14-5))&gt;0,INDEX('İzin Planı'!$F$6:$F$35,14-5)&lt;=('Özet'!$C$6+7*9)+6,INDEX('İzin Planı'!$G$6:$G$35,14-5)&gt;=('Özet'!$C$6+7*9)),AND(N(INDEX('İzin Planı'!$I$6:$I$35,14-5))&gt;0,INDEX('İzin Planı'!$I$6:$I$35,14-5)&lt;=('Özet'!$C$6+7*9)+6,INDEX('İzin Planı'!$J$6:$J$35,14-5)&gt;=('Özet'!$C$6+7*9)),AND(N(INDEX('İzin Planı'!$L$6:$L$35,14-5))&gt;0,INDEX('İzin Planı'!$L$6:$L$35,14-5)&lt;=('Özet'!$C$6+7*9)+6,INDEX('İzin Planı'!$M$6:$M$35,14-5)&gt;=('Özet'!$C$6+7*9))),"İ",""))</f>
      </c>
      <c r="M14" s="13">
        <f>IF(INDEX('İzin Planı'!$C$6:$C$35,14-5)="","",IF(OR(AND(N(INDEX('İzin Planı'!$F$6:$F$35,14-5))&gt;0,INDEX('İzin Planı'!$F$6:$F$35,14-5)&lt;=('Özet'!$C$6+7*10)+6,INDEX('İzin Planı'!$G$6:$G$35,14-5)&gt;=('Özet'!$C$6+7*10)),AND(N(INDEX('İzin Planı'!$I$6:$I$35,14-5))&gt;0,INDEX('İzin Planı'!$I$6:$I$35,14-5)&lt;=('Özet'!$C$6+7*10)+6,INDEX('İzin Planı'!$J$6:$J$35,14-5)&gt;=('Özet'!$C$6+7*10)),AND(N(INDEX('İzin Planı'!$L$6:$L$35,14-5))&gt;0,INDEX('İzin Planı'!$L$6:$L$35,14-5)&lt;=('Özet'!$C$6+7*10)+6,INDEX('İzin Planı'!$M$6:$M$35,14-5)&gt;=('Özet'!$C$6+7*10))),"İ",""))</f>
      </c>
      <c r="N14" s="13">
        <f>IF(INDEX('İzin Planı'!$C$6:$C$35,14-5)="","",IF(OR(AND(N(INDEX('İzin Planı'!$F$6:$F$35,14-5))&gt;0,INDEX('İzin Planı'!$F$6:$F$35,14-5)&lt;=('Özet'!$C$6+7*11)+6,INDEX('İzin Planı'!$G$6:$G$35,14-5)&gt;=('Özet'!$C$6+7*11)),AND(N(INDEX('İzin Planı'!$I$6:$I$35,14-5))&gt;0,INDEX('İzin Planı'!$I$6:$I$35,14-5)&lt;=('Özet'!$C$6+7*11)+6,INDEX('İzin Planı'!$J$6:$J$35,14-5)&gt;=('Özet'!$C$6+7*11)),AND(N(INDEX('İzin Planı'!$L$6:$L$35,14-5))&gt;0,INDEX('İzin Planı'!$L$6:$L$35,14-5)&lt;=('Özet'!$C$6+7*11)+6,INDEX('İzin Planı'!$M$6:$M$35,14-5)&gt;=('Özet'!$C$6+7*11))),"İ",""))</f>
      </c>
      <c r="O14" s="13">
        <f>IF(INDEX('İzin Planı'!$C$6:$C$35,14-5)="","",IF(OR(AND(N(INDEX('İzin Planı'!$F$6:$F$35,14-5))&gt;0,INDEX('İzin Planı'!$F$6:$F$35,14-5)&lt;=('Özet'!$C$6+7*12)+6,INDEX('İzin Planı'!$G$6:$G$35,14-5)&gt;=('Özet'!$C$6+7*12)),AND(N(INDEX('İzin Planı'!$I$6:$I$35,14-5))&gt;0,INDEX('İzin Planı'!$I$6:$I$35,14-5)&lt;=('Özet'!$C$6+7*12)+6,INDEX('İzin Planı'!$J$6:$J$35,14-5)&gt;=('Özet'!$C$6+7*12)),AND(N(INDEX('İzin Planı'!$L$6:$L$35,14-5))&gt;0,INDEX('İzin Planı'!$L$6:$L$35,14-5)&lt;=('Özet'!$C$6+7*12)+6,INDEX('İzin Planı'!$M$6:$M$35,14-5)&gt;=('Özet'!$C$6+7*12))),"İ",""))</f>
      </c>
      <c r="P14" s="13">
        <f>IF(INDEX('İzin Planı'!$C$6:$C$35,14-5)="","",IF(OR(AND(N(INDEX('İzin Planı'!$F$6:$F$35,14-5))&gt;0,INDEX('İzin Planı'!$F$6:$F$35,14-5)&lt;=('Özet'!$C$6+7*13)+6,INDEX('İzin Planı'!$G$6:$G$35,14-5)&gt;=('Özet'!$C$6+7*13)),AND(N(INDEX('İzin Planı'!$I$6:$I$35,14-5))&gt;0,INDEX('İzin Planı'!$I$6:$I$35,14-5)&lt;=('Özet'!$C$6+7*13)+6,INDEX('İzin Planı'!$J$6:$J$35,14-5)&gt;=('Özet'!$C$6+7*13)),AND(N(INDEX('İzin Planı'!$L$6:$L$35,14-5))&gt;0,INDEX('İzin Planı'!$L$6:$L$35,14-5)&lt;=('Özet'!$C$6+7*13)+6,INDEX('İzin Planı'!$M$6:$M$35,14-5)&gt;=('Özet'!$C$6+7*13))),"İ",""))</f>
      </c>
      <c r="Q14" s="13">
        <f>IF(INDEX('İzin Planı'!$C$6:$C$35,14-5)="","",IF(OR(AND(N(INDEX('İzin Planı'!$F$6:$F$35,14-5))&gt;0,INDEX('İzin Planı'!$F$6:$F$35,14-5)&lt;=('Özet'!$C$6+7*14)+6,INDEX('İzin Planı'!$G$6:$G$35,14-5)&gt;=('Özet'!$C$6+7*14)),AND(N(INDEX('İzin Planı'!$I$6:$I$35,14-5))&gt;0,INDEX('İzin Planı'!$I$6:$I$35,14-5)&lt;=('Özet'!$C$6+7*14)+6,INDEX('İzin Planı'!$J$6:$J$35,14-5)&gt;=('Özet'!$C$6+7*14)),AND(N(INDEX('İzin Planı'!$L$6:$L$35,14-5))&gt;0,INDEX('İzin Planı'!$L$6:$L$35,14-5)&lt;=('Özet'!$C$6+7*14)+6,INDEX('İzin Planı'!$M$6:$M$35,14-5)&gt;=('Özet'!$C$6+7*14))),"İ",""))</f>
      </c>
      <c r="R14" s="13">
        <f>IF(INDEX('İzin Planı'!$C$6:$C$35,14-5)="","",IF(OR(AND(N(INDEX('İzin Planı'!$F$6:$F$35,14-5))&gt;0,INDEX('İzin Planı'!$F$6:$F$35,14-5)&lt;=('Özet'!$C$6+7*15)+6,INDEX('İzin Planı'!$G$6:$G$35,14-5)&gt;=('Özet'!$C$6+7*15)),AND(N(INDEX('İzin Planı'!$I$6:$I$35,14-5))&gt;0,INDEX('İzin Planı'!$I$6:$I$35,14-5)&lt;=('Özet'!$C$6+7*15)+6,INDEX('İzin Planı'!$J$6:$J$35,14-5)&gt;=('Özet'!$C$6+7*15)),AND(N(INDEX('İzin Planı'!$L$6:$L$35,14-5))&gt;0,INDEX('İzin Planı'!$L$6:$L$35,14-5)&lt;=('Özet'!$C$6+7*15)+6,INDEX('İzin Planı'!$M$6:$M$35,14-5)&gt;=('Özet'!$C$6+7*15))),"İ",""))</f>
      </c>
      <c r="S14" s="13">
        <f>IF(INDEX('İzin Planı'!$C$6:$C$35,14-5)="","",IF(OR(AND(N(INDEX('İzin Planı'!$F$6:$F$35,14-5))&gt;0,INDEX('İzin Planı'!$F$6:$F$35,14-5)&lt;=('Özet'!$C$6+7*16)+6,INDEX('İzin Planı'!$G$6:$G$35,14-5)&gt;=('Özet'!$C$6+7*16)),AND(N(INDEX('İzin Planı'!$I$6:$I$35,14-5))&gt;0,INDEX('İzin Planı'!$I$6:$I$35,14-5)&lt;=('Özet'!$C$6+7*16)+6,INDEX('İzin Planı'!$J$6:$J$35,14-5)&gt;=('Özet'!$C$6+7*16)),AND(N(INDEX('İzin Planı'!$L$6:$L$35,14-5))&gt;0,INDEX('İzin Planı'!$L$6:$L$35,14-5)&lt;=('Özet'!$C$6+7*16)+6,INDEX('İzin Planı'!$M$6:$M$35,14-5)&gt;=('Özet'!$C$6+7*16))),"İ",""))</f>
      </c>
      <c r="T14" s="13">
        <f>IF(INDEX('İzin Planı'!$C$6:$C$35,14-5)="","",IF(OR(AND(N(INDEX('İzin Planı'!$F$6:$F$35,14-5))&gt;0,INDEX('İzin Planı'!$F$6:$F$35,14-5)&lt;=('Özet'!$C$6+7*17)+6,INDEX('İzin Planı'!$G$6:$G$35,14-5)&gt;=('Özet'!$C$6+7*17)),AND(N(INDEX('İzin Planı'!$I$6:$I$35,14-5))&gt;0,INDEX('İzin Planı'!$I$6:$I$35,14-5)&lt;=('Özet'!$C$6+7*17)+6,INDEX('İzin Planı'!$J$6:$J$35,14-5)&gt;=('Özet'!$C$6+7*17)),AND(N(INDEX('İzin Planı'!$L$6:$L$35,14-5))&gt;0,INDEX('İzin Planı'!$L$6:$L$35,14-5)&lt;=('Özet'!$C$6+7*17)+6,INDEX('İzin Planı'!$M$6:$M$35,14-5)&gt;=('Özet'!$C$6+7*17))),"İ",""))</f>
      </c>
      <c r="U14" s="13">
        <f>IF(INDEX('İzin Planı'!$C$6:$C$35,14-5)="","",IF(OR(AND(N(INDEX('İzin Planı'!$F$6:$F$35,14-5))&gt;0,INDEX('İzin Planı'!$F$6:$F$35,14-5)&lt;=('Özet'!$C$6+7*18)+6,INDEX('İzin Planı'!$G$6:$G$35,14-5)&gt;=('Özet'!$C$6+7*18)),AND(N(INDEX('İzin Planı'!$I$6:$I$35,14-5))&gt;0,INDEX('İzin Planı'!$I$6:$I$35,14-5)&lt;=('Özet'!$C$6+7*18)+6,INDEX('İzin Planı'!$J$6:$J$35,14-5)&gt;=('Özet'!$C$6+7*18)),AND(N(INDEX('İzin Planı'!$L$6:$L$35,14-5))&gt;0,INDEX('İzin Planı'!$L$6:$L$35,14-5)&lt;=('Özet'!$C$6+7*18)+6,INDEX('İzin Planı'!$M$6:$M$35,14-5)&gt;=('Özet'!$C$6+7*18))),"İ",""))</f>
      </c>
      <c r="V14" s="13">
        <f>IF(INDEX('İzin Planı'!$C$6:$C$35,14-5)="","",IF(OR(AND(N(INDEX('İzin Planı'!$F$6:$F$35,14-5))&gt;0,INDEX('İzin Planı'!$F$6:$F$35,14-5)&lt;=('Özet'!$C$6+7*19)+6,INDEX('İzin Planı'!$G$6:$G$35,14-5)&gt;=('Özet'!$C$6+7*19)),AND(N(INDEX('İzin Planı'!$I$6:$I$35,14-5))&gt;0,INDEX('İzin Planı'!$I$6:$I$35,14-5)&lt;=('Özet'!$C$6+7*19)+6,INDEX('İzin Planı'!$J$6:$J$35,14-5)&gt;=('Özet'!$C$6+7*19)),AND(N(INDEX('İzin Planı'!$L$6:$L$35,14-5))&gt;0,INDEX('İzin Planı'!$L$6:$L$35,14-5)&lt;=('Özet'!$C$6+7*19)+6,INDEX('İzin Planı'!$M$6:$M$35,14-5)&gt;=('Özet'!$C$6+7*19))),"İ",""))</f>
      </c>
      <c r="W14" s="13">
        <f>IF(INDEX('İzin Planı'!$C$6:$C$35,14-5)="","",IF(OR(AND(N(INDEX('İzin Planı'!$F$6:$F$35,14-5))&gt;0,INDEX('İzin Planı'!$F$6:$F$35,14-5)&lt;=('Özet'!$C$6+7*20)+6,INDEX('İzin Planı'!$G$6:$G$35,14-5)&gt;=('Özet'!$C$6+7*20)),AND(N(INDEX('İzin Planı'!$I$6:$I$35,14-5))&gt;0,INDEX('İzin Planı'!$I$6:$I$35,14-5)&lt;=('Özet'!$C$6+7*20)+6,INDEX('İzin Planı'!$J$6:$J$35,14-5)&gt;=('Özet'!$C$6+7*20)),AND(N(INDEX('İzin Planı'!$L$6:$L$35,14-5))&gt;0,INDEX('İzin Planı'!$L$6:$L$35,14-5)&lt;=('Özet'!$C$6+7*20)+6,INDEX('İzin Planı'!$M$6:$M$35,14-5)&gt;=('Özet'!$C$6+7*20))),"İ",""))</f>
      </c>
      <c r="X14" s="13">
        <f>IF(INDEX('İzin Planı'!$C$6:$C$35,14-5)="","",IF(OR(AND(N(INDEX('İzin Planı'!$F$6:$F$35,14-5))&gt;0,INDEX('İzin Planı'!$F$6:$F$35,14-5)&lt;=('Özet'!$C$6+7*21)+6,INDEX('İzin Planı'!$G$6:$G$35,14-5)&gt;=('Özet'!$C$6+7*21)),AND(N(INDEX('İzin Planı'!$I$6:$I$35,14-5))&gt;0,INDEX('İzin Planı'!$I$6:$I$35,14-5)&lt;=('Özet'!$C$6+7*21)+6,INDEX('İzin Planı'!$J$6:$J$35,14-5)&gt;=('Özet'!$C$6+7*21)),AND(N(INDEX('İzin Planı'!$L$6:$L$35,14-5))&gt;0,INDEX('İzin Planı'!$L$6:$L$35,14-5)&lt;=('Özet'!$C$6+7*21)+6,INDEX('İzin Planı'!$M$6:$M$35,14-5)&gt;=('Özet'!$C$6+7*21))),"İ",""))</f>
      </c>
      <c r="Y14" s="13">
        <f>IF(INDEX('İzin Planı'!$C$6:$C$35,14-5)="","",IF(OR(AND(N(INDEX('İzin Planı'!$F$6:$F$35,14-5))&gt;0,INDEX('İzin Planı'!$F$6:$F$35,14-5)&lt;=('Özet'!$C$6+7*22)+6,INDEX('İzin Planı'!$G$6:$G$35,14-5)&gt;=('Özet'!$C$6+7*22)),AND(N(INDEX('İzin Planı'!$I$6:$I$35,14-5))&gt;0,INDEX('İzin Planı'!$I$6:$I$35,14-5)&lt;=('Özet'!$C$6+7*22)+6,INDEX('İzin Planı'!$J$6:$J$35,14-5)&gt;=('Özet'!$C$6+7*22)),AND(N(INDEX('İzin Planı'!$L$6:$L$35,14-5))&gt;0,INDEX('İzin Planı'!$L$6:$L$35,14-5)&lt;=('Özet'!$C$6+7*22)+6,INDEX('İzin Planı'!$M$6:$M$35,14-5)&gt;=('Özet'!$C$6+7*22))),"İ",""))</f>
      </c>
      <c r="Z14" s="13">
        <f>IF(INDEX('İzin Planı'!$C$6:$C$35,14-5)="","",IF(OR(AND(N(INDEX('İzin Planı'!$F$6:$F$35,14-5))&gt;0,INDEX('İzin Planı'!$F$6:$F$35,14-5)&lt;=('Özet'!$C$6+7*23)+6,INDEX('İzin Planı'!$G$6:$G$35,14-5)&gt;=('Özet'!$C$6+7*23)),AND(N(INDEX('İzin Planı'!$I$6:$I$35,14-5))&gt;0,INDEX('İzin Planı'!$I$6:$I$35,14-5)&lt;=('Özet'!$C$6+7*23)+6,INDEX('İzin Planı'!$J$6:$J$35,14-5)&gt;=('Özet'!$C$6+7*23)),AND(N(INDEX('İzin Planı'!$L$6:$L$35,14-5))&gt;0,INDEX('İzin Planı'!$L$6:$L$35,14-5)&lt;=('Özet'!$C$6+7*23)+6,INDEX('İzin Planı'!$M$6:$M$35,14-5)&gt;=('Özet'!$C$6+7*23))),"İ",""))</f>
      </c>
      <c r="AA14" s="13">
        <f>IF(INDEX('İzin Planı'!$C$6:$C$35,14-5)="","",IF(OR(AND(N(INDEX('İzin Planı'!$F$6:$F$35,14-5))&gt;0,INDEX('İzin Planı'!$F$6:$F$35,14-5)&lt;=('Özet'!$C$6+7*24)+6,INDEX('İzin Planı'!$G$6:$G$35,14-5)&gt;=('Özet'!$C$6+7*24)),AND(N(INDEX('İzin Planı'!$I$6:$I$35,14-5))&gt;0,INDEX('İzin Planı'!$I$6:$I$35,14-5)&lt;=('Özet'!$C$6+7*24)+6,INDEX('İzin Planı'!$J$6:$J$35,14-5)&gt;=('Özet'!$C$6+7*24)),AND(N(INDEX('İzin Planı'!$L$6:$L$35,14-5))&gt;0,INDEX('İzin Planı'!$L$6:$L$35,14-5)&lt;=('Özet'!$C$6+7*24)+6,INDEX('İzin Planı'!$M$6:$M$35,14-5)&gt;=('Özet'!$C$6+7*24))),"İ",""))</f>
      </c>
      <c r="AB14" s="13">
        <f>IF(INDEX('İzin Planı'!$C$6:$C$35,14-5)="","",IF(OR(AND(N(INDEX('İzin Planı'!$F$6:$F$35,14-5))&gt;0,INDEX('İzin Planı'!$F$6:$F$35,14-5)&lt;=('Özet'!$C$6+7*25)+6,INDEX('İzin Planı'!$G$6:$G$35,14-5)&gt;=('Özet'!$C$6+7*25)),AND(N(INDEX('İzin Planı'!$I$6:$I$35,14-5))&gt;0,INDEX('İzin Planı'!$I$6:$I$35,14-5)&lt;=('Özet'!$C$6+7*25)+6,INDEX('İzin Planı'!$J$6:$J$35,14-5)&gt;=('Özet'!$C$6+7*25)),AND(N(INDEX('İzin Planı'!$L$6:$L$35,14-5))&gt;0,INDEX('İzin Planı'!$L$6:$L$35,14-5)&lt;=('Özet'!$C$6+7*25)+6,INDEX('İzin Planı'!$M$6:$M$35,14-5)&gt;=('Özet'!$C$6+7*25))),"İ",""))</f>
      </c>
      <c r="AC14" s="13">
        <f>IF(INDEX('İzin Planı'!$C$6:$C$35,14-5)="","",IF(OR(AND(N(INDEX('İzin Planı'!$F$6:$F$35,14-5))&gt;0,INDEX('İzin Planı'!$F$6:$F$35,14-5)&lt;=('Özet'!$C$6+7*26)+6,INDEX('İzin Planı'!$G$6:$G$35,14-5)&gt;=('Özet'!$C$6+7*26)),AND(N(INDEX('İzin Planı'!$I$6:$I$35,14-5))&gt;0,INDEX('İzin Planı'!$I$6:$I$35,14-5)&lt;=('Özet'!$C$6+7*26)+6,INDEX('İzin Planı'!$J$6:$J$35,14-5)&gt;=('Özet'!$C$6+7*26)),AND(N(INDEX('İzin Planı'!$L$6:$L$35,14-5))&gt;0,INDEX('İzin Planı'!$L$6:$L$35,14-5)&lt;=('Özet'!$C$6+7*26)+6,INDEX('İzin Planı'!$M$6:$M$35,14-5)&gt;=('Özet'!$C$6+7*26))),"İ",""))</f>
      </c>
      <c r="AD14" s="13">
        <f>IF(INDEX('İzin Planı'!$C$6:$C$35,14-5)="","",IF(OR(AND(N(INDEX('İzin Planı'!$F$6:$F$35,14-5))&gt;0,INDEX('İzin Planı'!$F$6:$F$35,14-5)&lt;=('Özet'!$C$6+7*27)+6,INDEX('İzin Planı'!$G$6:$G$35,14-5)&gt;=('Özet'!$C$6+7*27)),AND(N(INDEX('İzin Planı'!$I$6:$I$35,14-5))&gt;0,INDEX('İzin Planı'!$I$6:$I$35,14-5)&lt;=('Özet'!$C$6+7*27)+6,INDEX('İzin Planı'!$J$6:$J$35,14-5)&gt;=('Özet'!$C$6+7*27)),AND(N(INDEX('İzin Planı'!$L$6:$L$35,14-5))&gt;0,INDEX('İzin Planı'!$L$6:$L$35,14-5)&lt;=('Özet'!$C$6+7*27)+6,INDEX('İzin Planı'!$M$6:$M$35,14-5)&gt;=('Özet'!$C$6+7*27))),"İ",""))</f>
      </c>
      <c r="AE14" s="13">
        <f>IF(INDEX('İzin Planı'!$C$6:$C$35,14-5)="","",IF(OR(AND(N(INDEX('İzin Planı'!$F$6:$F$35,14-5))&gt;0,INDEX('İzin Planı'!$F$6:$F$35,14-5)&lt;=('Özet'!$C$6+7*28)+6,INDEX('İzin Planı'!$G$6:$G$35,14-5)&gt;=('Özet'!$C$6+7*28)),AND(N(INDEX('İzin Planı'!$I$6:$I$35,14-5))&gt;0,INDEX('İzin Planı'!$I$6:$I$35,14-5)&lt;=('Özet'!$C$6+7*28)+6,INDEX('İzin Planı'!$J$6:$J$35,14-5)&gt;=('Özet'!$C$6+7*28)),AND(N(INDEX('İzin Planı'!$L$6:$L$35,14-5))&gt;0,INDEX('İzin Planı'!$L$6:$L$35,14-5)&lt;=('Özet'!$C$6+7*28)+6,INDEX('İzin Planı'!$M$6:$M$35,14-5)&gt;=('Özet'!$C$6+7*28))),"İ",""))</f>
      </c>
      <c r="AF14" s="13">
        <f>IF(INDEX('İzin Planı'!$C$6:$C$35,14-5)="","",IF(OR(AND(N(INDEX('İzin Planı'!$F$6:$F$35,14-5))&gt;0,INDEX('İzin Planı'!$F$6:$F$35,14-5)&lt;=('Özet'!$C$6+7*29)+6,INDEX('İzin Planı'!$G$6:$G$35,14-5)&gt;=('Özet'!$C$6+7*29)),AND(N(INDEX('İzin Planı'!$I$6:$I$35,14-5))&gt;0,INDEX('İzin Planı'!$I$6:$I$35,14-5)&lt;=('Özet'!$C$6+7*29)+6,INDEX('İzin Planı'!$J$6:$J$35,14-5)&gt;=('Özet'!$C$6+7*29)),AND(N(INDEX('İzin Planı'!$L$6:$L$35,14-5))&gt;0,INDEX('İzin Planı'!$L$6:$L$35,14-5)&lt;=('Özet'!$C$6+7*29)+6,INDEX('İzin Planı'!$M$6:$M$35,14-5)&gt;=('Özet'!$C$6+7*29))),"İ",""))</f>
      </c>
      <c r="AG14" s="13">
        <f>IF(INDEX('İzin Planı'!$C$6:$C$35,14-5)="","",IF(OR(AND(N(INDEX('İzin Planı'!$F$6:$F$35,14-5))&gt;0,INDEX('İzin Planı'!$F$6:$F$35,14-5)&lt;=('Özet'!$C$6+7*30)+6,INDEX('İzin Planı'!$G$6:$G$35,14-5)&gt;=('Özet'!$C$6+7*30)),AND(N(INDEX('İzin Planı'!$I$6:$I$35,14-5))&gt;0,INDEX('İzin Planı'!$I$6:$I$35,14-5)&lt;=('Özet'!$C$6+7*30)+6,INDEX('İzin Planı'!$J$6:$J$35,14-5)&gt;=('Özet'!$C$6+7*30)),AND(N(INDEX('İzin Planı'!$L$6:$L$35,14-5))&gt;0,INDEX('İzin Planı'!$L$6:$L$35,14-5)&lt;=('Özet'!$C$6+7*30)+6,INDEX('İzin Planı'!$M$6:$M$35,14-5)&gt;=('Özet'!$C$6+7*30))),"İ",""))</f>
      </c>
      <c r="AH14" s="13">
        <f>IF(INDEX('İzin Planı'!$C$6:$C$35,14-5)="","",IF(OR(AND(N(INDEX('İzin Planı'!$F$6:$F$35,14-5))&gt;0,INDEX('İzin Planı'!$F$6:$F$35,14-5)&lt;=('Özet'!$C$6+7*31)+6,INDEX('İzin Planı'!$G$6:$G$35,14-5)&gt;=('Özet'!$C$6+7*31)),AND(N(INDEX('İzin Planı'!$I$6:$I$35,14-5))&gt;0,INDEX('İzin Planı'!$I$6:$I$35,14-5)&lt;=('Özet'!$C$6+7*31)+6,INDEX('İzin Planı'!$J$6:$J$35,14-5)&gt;=('Özet'!$C$6+7*31)),AND(N(INDEX('İzin Planı'!$L$6:$L$35,14-5))&gt;0,INDEX('İzin Planı'!$L$6:$L$35,14-5)&lt;=('Özet'!$C$6+7*31)+6,INDEX('İzin Planı'!$M$6:$M$35,14-5)&gt;=('Özet'!$C$6+7*31))),"İ",""))</f>
      </c>
      <c r="AI14" s="13">
        <f>IF(INDEX('İzin Planı'!$C$6:$C$35,14-5)="","",IF(OR(AND(N(INDEX('İzin Planı'!$F$6:$F$35,14-5))&gt;0,INDEX('İzin Planı'!$F$6:$F$35,14-5)&lt;=('Özet'!$C$6+7*32)+6,INDEX('İzin Planı'!$G$6:$G$35,14-5)&gt;=('Özet'!$C$6+7*32)),AND(N(INDEX('İzin Planı'!$I$6:$I$35,14-5))&gt;0,INDEX('İzin Planı'!$I$6:$I$35,14-5)&lt;=('Özet'!$C$6+7*32)+6,INDEX('İzin Planı'!$J$6:$J$35,14-5)&gt;=('Özet'!$C$6+7*32)),AND(N(INDEX('İzin Planı'!$L$6:$L$35,14-5))&gt;0,INDEX('İzin Planı'!$L$6:$L$35,14-5)&lt;=('Özet'!$C$6+7*32)+6,INDEX('İzin Planı'!$M$6:$M$35,14-5)&gt;=('Özet'!$C$6+7*32))),"İ",""))</f>
      </c>
      <c r="AJ14" s="13">
        <f>IF(INDEX('İzin Planı'!$C$6:$C$35,14-5)="","",IF(OR(AND(N(INDEX('İzin Planı'!$F$6:$F$35,14-5))&gt;0,INDEX('İzin Planı'!$F$6:$F$35,14-5)&lt;=('Özet'!$C$6+7*33)+6,INDEX('İzin Planı'!$G$6:$G$35,14-5)&gt;=('Özet'!$C$6+7*33)),AND(N(INDEX('İzin Planı'!$I$6:$I$35,14-5))&gt;0,INDEX('İzin Planı'!$I$6:$I$35,14-5)&lt;=('Özet'!$C$6+7*33)+6,INDEX('İzin Planı'!$J$6:$J$35,14-5)&gt;=('Özet'!$C$6+7*33)),AND(N(INDEX('İzin Planı'!$L$6:$L$35,14-5))&gt;0,INDEX('İzin Planı'!$L$6:$L$35,14-5)&lt;=('Özet'!$C$6+7*33)+6,INDEX('İzin Planı'!$M$6:$M$35,14-5)&gt;=('Özet'!$C$6+7*33))),"İ",""))</f>
      </c>
      <c r="AK14" s="13">
        <f>IF(INDEX('İzin Planı'!$C$6:$C$35,14-5)="","",IF(OR(AND(N(INDEX('İzin Planı'!$F$6:$F$35,14-5))&gt;0,INDEX('İzin Planı'!$F$6:$F$35,14-5)&lt;=('Özet'!$C$6+7*34)+6,INDEX('İzin Planı'!$G$6:$G$35,14-5)&gt;=('Özet'!$C$6+7*34)),AND(N(INDEX('İzin Planı'!$I$6:$I$35,14-5))&gt;0,INDEX('İzin Planı'!$I$6:$I$35,14-5)&lt;=('Özet'!$C$6+7*34)+6,INDEX('İzin Planı'!$J$6:$J$35,14-5)&gt;=('Özet'!$C$6+7*34)),AND(N(INDEX('İzin Planı'!$L$6:$L$35,14-5))&gt;0,INDEX('İzin Planı'!$L$6:$L$35,14-5)&lt;=('Özet'!$C$6+7*34)+6,INDEX('İzin Planı'!$M$6:$M$35,14-5)&gt;=('Özet'!$C$6+7*34))),"İ",""))</f>
      </c>
      <c r="AL14" s="13">
        <f>IF(INDEX('İzin Planı'!$C$6:$C$35,14-5)="","",IF(OR(AND(N(INDEX('İzin Planı'!$F$6:$F$35,14-5))&gt;0,INDEX('İzin Planı'!$F$6:$F$35,14-5)&lt;=('Özet'!$C$6+7*35)+6,INDEX('İzin Planı'!$G$6:$G$35,14-5)&gt;=('Özet'!$C$6+7*35)),AND(N(INDEX('İzin Planı'!$I$6:$I$35,14-5))&gt;0,INDEX('İzin Planı'!$I$6:$I$35,14-5)&lt;=('Özet'!$C$6+7*35)+6,INDEX('İzin Planı'!$J$6:$J$35,14-5)&gt;=('Özet'!$C$6+7*35)),AND(N(INDEX('İzin Planı'!$L$6:$L$35,14-5))&gt;0,INDEX('İzin Planı'!$L$6:$L$35,14-5)&lt;=('Özet'!$C$6+7*35)+6,INDEX('İzin Planı'!$M$6:$M$35,14-5)&gt;=('Özet'!$C$6+7*35))),"İ",""))</f>
      </c>
      <c r="AM14" s="13">
        <f>IF(INDEX('İzin Planı'!$C$6:$C$35,14-5)="","",IF(OR(AND(N(INDEX('İzin Planı'!$F$6:$F$35,14-5))&gt;0,INDEX('İzin Planı'!$F$6:$F$35,14-5)&lt;=('Özet'!$C$6+7*36)+6,INDEX('İzin Planı'!$G$6:$G$35,14-5)&gt;=('Özet'!$C$6+7*36)),AND(N(INDEX('İzin Planı'!$I$6:$I$35,14-5))&gt;0,INDEX('İzin Planı'!$I$6:$I$35,14-5)&lt;=('Özet'!$C$6+7*36)+6,INDEX('İzin Planı'!$J$6:$J$35,14-5)&gt;=('Özet'!$C$6+7*36)),AND(N(INDEX('İzin Planı'!$L$6:$L$35,14-5))&gt;0,INDEX('İzin Planı'!$L$6:$L$35,14-5)&lt;=('Özet'!$C$6+7*36)+6,INDEX('İzin Planı'!$M$6:$M$35,14-5)&gt;=('Özet'!$C$6+7*36))),"İ",""))</f>
      </c>
      <c r="AN14" s="13">
        <f>IF(INDEX('İzin Planı'!$C$6:$C$35,14-5)="","",IF(OR(AND(N(INDEX('İzin Planı'!$F$6:$F$35,14-5))&gt;0,INDEX('İzin Planı'!$F$6:$F$35,14-5)&lt;=('Özet'!$C$6+7*37)+6,INDEX('İzin Planı'!$G$6:$G$35,14-5)&gt;=('Özet'!$C$6+7*37)),AND(N(INDEX('İzin Planı'!$I$6:$I$35,14-5))&gt;0,INDEX('İzin Planı'!$I$6:$I$35,14-5)&lt;=('Özet'!$C$6+7*37)+6,INDEX('İzin Planı'!$J$6:$J$35,14-5)&gt;=('Özet'!$C$6+7*37)),AND(N(INDEX('İzin Planı'!$L$6:$L$35,14-5))&gt;0,INDEX('İzin Planı'!$L$6:$L$35,14-5)&lt;=('Özet'!$C$6+7*37)+6,INDEX('İzin Planı'!$M$6:$M$35,14-5)&gt;=('Özet'!$C$6+7*37))),"İ",""))</f>
      </c>
      <c r="AO14" s="13">
        <f>IF(INDEX('İzin Planı'!$C$6:$C$35,14-5)="","",IF(OR(AND(N(INDEX('İzin Planı'!$F$6:$F$35,14-5))&gt;0,INDEX('İzin Planı'!$F$6:$F$35,14-5)&lt;=('Özet'!$C$6+7*38)+6,INDEX('İzin Planı'!$G$6:$G$35,14-5)&gt;=('Özet'!$C$6+7*38)),AND(N(INDEX('İzin Planı'!$I$6:$I$35,14-5))&gt;0,INDEX('İzin Planı'!$I$6:$I$35,14-5)&lt;=('Özet'!$C$6+7*38)+6,INDEX('İzin Planı'!$J$6:$J$35,14-5)&gt;=('Özet'!$C$6+7*38)),AND(N(INDEX('İzin Planı'!$L$6:$L$35,14-5))&gt;0,INDEX('İzin Planı'!$L$6:$L$35,14-5)&lt;=('Özet'!$C$6+7*38)+6,INDEX('İzin Planı'!$M$6:$M$35,14-5)&gt;=('Özet'!$C$6+7*38))),"İ",""))</f>
      </c>
      <c r="AP14" s="13">
        <f>IF(INDEX('İzin Planı'!$C$6:$C$35,14-5)="","",IF(OR(AND(N(INDEX('İzin Planı'!$F$6:$F$35,14-5))&gt;0,INDEX('İzin Planı'!$F$6:$F$35,14-5)&lt;=('Özet'!$C$6+7*39)+6,INDEX('İzin Planı'!$G$6:$G$35,14-5)&gt;=('Özet'!$C$6+7*39)),AND(N(INDEX('İzin Planı'!$I$6:$I$35,14-5))&gt;0,INDEX('İzin Planı'!$I$6:$I$35,14-5)&lt;=('Özet'!$C$6+7*39)+6,INDEX('İzin Planı'!$J$6:$J$35,14-5)&gt;=('Özet'!$C$6+7*39)),AND(N(INDEX('İzin Planı'!$L$6:$L$35,14-5))&gt;0,INDEX('İzin Planı'!$L$6:$L$35,14-5)&lt;=('Özet'!$C$6+7*39)+6,INDEX('İzin Planı'!$M$6:$M$35,14-5)&gt;=('Özet'!$C$6+7*39))),"İ",""))</f>
      </c>
      <c r="AQ14" s="13">
        <f>IF(INDEX('İzin Planı'!$C$6:$C$35,14-5)="","",IF(OR(AND(N(INDEX('İzin Planı'!$F$6:$F$35,14-5))&gt;0,INDEX('İzin Planı'!$F$6:$F$35,14-5)&lt;=('Özet'!$C$6+7*40)+6,INDEX('İzin Planı'!$G$6:$G$35,14-5)&gt;=('Özet'!$C$6+7*40)),AND(N(INDEX('İzin Planı'!$I$6:$I$35,14-5))&gt;0,INDEX('İzin Planı'!$I$6:$I$35,14-5)&lt;=('Özet'!$C$6+7*40)+6,INDEX('İzin Planı'!$J$6:$J$35,14-5)&gt;=('Özet'!$C$6+7*40)),AND(N(INDEX('İzin Planı'!$L$6:$L$35,14-5))&gt;0,INDEX('İzin Planı'!$L$6:$L$35,14-5)&lt;=('Özet'!$C$6+7*40)+6,INDEX('İzin Planı'!$M$6:$M$35,14-5)&gt;=('Özet'!$C$6+7*40))),"İ",""))</f>
      </c>
      <c r="AR14" s="13">
        <f>IF(INDEX('İzin Planı'!$C$6:$C$35,14-5)="","",IF(OR(AND(N(INDEX('İzin Planı'!$F$6:$F$35,14-5))&gt;0,INDEX('İzin Planı'!$F$6:$F$35,14-5)&lt;=('Özet'!$C$6+7*41)+6,INDEX('İzin Planı'!$G$6:$G$35,14-5)&gt;=('Özet'!$C$6+7*41)),AND(N(INDEX('İzin Planı'!$I$6:$I$35,14-5))&gt;0,INDEX('İzin Planı'!$I$6:$I$35,14-5)&lt;=('Özet'!$C$6+7*41)+6,INDEX('İzin Planı'!$J$6:$J$35,14-5)&gt;=('Özet'!$C$6+7*41)),AND(N(INDEX('İzin Planı'!$L$6:$L$35,14-5))&gt;0,INDEX('İzin Planı'!$L$6:$L$35,14-5)&lt;=('Özet'!$C$6+7*41)+6,INDEX('İzin Planı'!$M$6:$M$35,14-5)&gt;=('Özet'!$C$6+7*41))),"İ",""))</f>
      </c>
      <c r="AS14" s="13">
        <f>IF(INDEX('İzin Planı'!$C$6:$C$35,14-5)="","",IF(OR(AND(N(INDEX('İzin Planı'!$F$6:$F$35,14-5))&gt;0,INDEX('İzin Planı'!$F$6:$F$35,14-5)&lt;=('Özet'!$C$6+7*42)+6,INDEX('İzin Planı'!$G$6:$G$35,14-5)&gt;=('Özet'!$C$6+7*42)),AND(N(INDEX('İzin Planı'!$I$6:$I$35,14-5))&gt;0,INDEX('İzin Planı'!$I$6:$I$35,14-5)&lt;=('Özet'!$C$6+7*42)+6,INDEX('İzin Planı'!$J$6:$J$35,14-5)&gt;=('Özet'!$C$6+7*42)),AND(N(INDEX('İzin Planı'!$L$6:$L$35,14-5))&gt;0,INDEX('İzin Planı'!$L$6:$L$35,14-5)&lt;=('Özet'!$C$6+7*42)+6,INDEX('İzin Planı'!$M$6:$M$35,14-5)&gt;=('Özet'!$C$6+7*42))),"İ",""))</f>
      </c>
      <c r="AT14" s="13">
        <f>IF(INDEX('İzin Planı'!$C$6:$C$35,14-5)="","",IF(OR(AND(N(INDEX('İzin Planı'!$F$6:$F$35,14-5))&gt;0,INDEX('İzin Planı'!$F$6:$F$35,14-5)&lt;=('Özet'!$C$6+7*43)+6,INDEX('İzin Planı'!$G$6:$G$35,14-5)&gt;=('Özet'!$C$6+7*43)),AND(N(INDEX('İzin Planı'!$I$6:$I$35,14-5))&gt;0,INDEX('İzin Planı'!$I$6:$I$35,14-5)&lt;=('Özet'!$C$6+7*43)+6,INDEX('İzin Planı'!$J$6:$J$35,14-5)&gt;=('Özet'!$C$6+7*43)),AND(N(INDEX('İzin Planı'!$L$6:$L$35,14-5))&gt;0,INDEX('İzin Planı'!$L$6:$L$35,14-5)&lt;=('Özet'!$C$6+7*43)+6,INDEX('İzin Planı'!$M$6:$M$35,14-5)&gt;=('Özet'!$C$6+7*43))),"İ",""))</f>
      </c>
      <c r="AU14" s="13">
        <f>IF(INDEX('İzin Planı'!$C$6:$C$35,14-5)="","",IF(OR(AND(N(INDEX('İzin Planı'!$F$6:$F$35,14-5))&gt;0,INDEX('İzin Planı'!$F$6:$F$35,14-5)&lt;=('Özet'!$C$6+7*44)+6,INDEX('İzin Planı'!$G$6:$G$35,14-5)&gt;=('Özet'!$C$6+7*44)),AND(N(INDEX('İzin Planı'!$I$6:$I$35,14-5))&gt;0,INDEX('İzin Planı'!$I$6:$I$35,14-5)&lt;=('Özet'!$C$6+7*44)+6,INDEX('İzin Planı'!$J$6:$J$35,14-5)&gt;=('Özet'!$C$6+7*44)),AND(N(INDEX('İzin Planı'!$L$6:$L$35,14-5))&gt;0,INDEX('İzin Planı'!$L$6:$L$35,14-5)&lt;=('Özet'!$C$6+7*44)+6,INDEX('İzin Planı'!$M$6:$M$35,14-5)&gt;=('Özet'!$C$6+7*44))),"İ",""))</f>
      </c>
      <c r="AV14" s="13">
        <f>IF(INDEX('İzin Planı'!$C$6:$C$35,14-5)="","",IF(OR(AND(N(INDEX('İzin Planı'!$F$6:$F$35,14-5))&gt;0,INDEX('İzin Planı'!$F$6:$F$35,14-5)&lt;=('Özet'!$C$6+7*45)+6,INDEX('İzin Planı'!$G$6:$G$35,14-5)&gt;=('Özet'!$C$6+7*45)),AND(N(INDEX('İzin Planı'!$I$6:$I$35,14-5))&gt;0,INDEX('İzin Planı'!$I$6:$I$35,14-5)&lt;=('Özet'!$C$6+7*45)+6,INDEX('İzin Planı'!$J$6:$J$35,14-5)&gt;=('Özet'!$C$6+7*45)),AND(N(INDEX('İzin Planı'!$L$6:$L$35,14-5))&gt;0,INDEX('İzin Planı'!$L$6:$L$35,14-5)&lt;=('Özet'!$C$6+7*45)+6,INDEX('İzin Planı'!$M$6:$M$35,14-5)&gt;=('Özet'!$C$6+7*45))),"İ",""))</f>
      </c>
      <c r="AW14" s="13">
        <f>IF(INDEX('İzin Planı'!$C$6:$C$35,14-5)="","",IF(OR(AND(N(INDEX('İzin Planı'!$F$6:$F$35,14-5))&gt;0,INDEX('İzin Planı'!$F$6:$F$35,14-5)&lt;=('Özet'!$C$6+7*46)+6,INDEX('İzin Planı'!$G$6:$G$35,14-5)&gt;=('Özet'!$C$6+7*46)),AND(N(INDEX('İzin Planı'!$I$6:$I$35,14-5))&gt;0,INDEX('İzin Planı'!$I$6:$I$35,14-5)&lt;=('Özet'!$C$6+7*46)+6,INDEX('İzin Planı'!$J$6:$J$35,14-5)&gt;=('Özet'!$C$6+7*46)),AND(N(INDEX('İzin Planı'!$L$6:$L$35,14-5))&gt;0,INDEX('İzin Planı'!$L$6:$L$35,14-5)&lt;=('Özet'!$C$6+7*46)+6,INDEX('İzin Planı'!$M$6:$M$35,14-5)&gt;=('Özet'!$C$6+7*46))),"İ",""))</f>
      </c>
      <c r="AX14" s="13">
        <f>IF(INDEX('İzin Planı'!$C$6:$C$35,14-5)="","",IF(OR(AND(N(INDEX('İzin Planı'!$F$6:$F$35,14-5))&gt;0,INDEX('İzin Planı'!$F$6:$F$35,14-5)&lt;=('Özet'!$C$6+7*47)+6,INDEX('İzin Planı'!$G$6:$G$35,14-5)&gt;=('Özet'!$C$6+7*47)),AND(N(INDEX('İzin Planı'!$I$6:$I$35,14-5))&gt;0,INDEX('İzin Planı'!$I$6:$I$35,14-5)&lt;=('Özet'!$C$6+7*47)+6,INDEX('İzin Planı'!$J$6:$J$35,14-5)&gt;=('Özet'!$C$6+7*47)),AND(N(INDEX('İzin Planı'!$L$6:$L$35,14-5))&gt;0,INDEX('İzin Planı'!$L$6:$L$35,14-5)&lt;=('Özet'!$C$6+7*47)+6,INDEX('İzin Planı'!$M$6:$M$35,14-5)&gt;=('Özet'!$C$6+7*47))),"İ",""))</f>
      </c>
      <c r="AY14" s="13">
        <f>IF(INDEX('İzin Planı'!$C$6:$C$35,14-5)="","",IF(OR(AND(N(INDEX('İzin Planı'!$F$6:$F$35,14-5))&gt;0,INDEX('İzin Planı'!$F$6:$F$35,14-5)&lt;=('Özet'!$C$6+7*48)+6,INDEX('İzin Planı'!$G$6:$G$35,14-5)&gt;=('Özet'!$C$6+7*48)),AND(N(INDEX('İzin Planı'!$I$6:$I$35,14-5))&gt;0,INDEX('İzin Planı'!$I$6:$I$35,14-5)&lt;=('Özet'!$C$6+7*48)+6,INDEX('İzin Planı'!$J$6:$J$35,14-5)&gt;=('Özet'!$C$6+7*48)),AND(N(INDEX('İzin Planı'!$L$6:$L$35,14-5))&gt;0,INDEX('İzin Planı'!$L$6:$L$35,14-5)&lt;=('Özet'!$C$6+7*48)+6,INDEX('İzin Planı'!$M$6:$M$35,14-5)&gt;=('Özet'!$C$6+7*48))),"İ",""))</f>
      </c>
      <c r="AZ14" s="13">
        <f>IF(INDEX('İzin Planı'!$C$6:$C$35,14-5)="","",IF(OR(AND(N(INDEX('İzin Planı'!$F$6:$F$35,14-5))&gt;0,INDEX('İzin Planı'!$F$6:$F$35,14-5)&lt;=('Özet'!$C$6+7*49)+6,INDEX('İzin Planı'!$G$6:$G$35,14-5)&gt;=('Özet'!$C$6+7*49)),AND(N(INDEX('İzin Planı'!$I$6:$I$35,14-5))&gt;0,INDEX('İzin Planı'!$I$6:$I$35,14-5)&lt;=('Özet'!$C$6+7*49)+6,INDEX('İzin Planı'!$J$6:$J$35,14-5)&gt;=('Özet'!$C$6+7*49)),AND(N(INDEX('İzin Planı'!$L$6:$L$35,14-5))&gt;0,INDEX('İzin Planı'!$L$6:$L$35,14-5)&lt;=('Özet'!$C$6+7*49)+6,INDEX('İzin Planı'!$M$6:$M$35,14-5)&gt;=('Özet'!$C$6+7*49))),"İ",""))</f>
      </c>
      <c r="BA14" s="13">
        <f>IF(INDEX('İzin Planı'!$C$6:$C$35,14-5)="","",IF(OR(AND(N(INDEX('İzin Planı'!$F$6:$F$35,14-5))&gt;0,INDEX('İzin Planı'!$F$6:$F$35,14-5)&lt;=('Özet'!$C$6+7*50)+6,INDEX('İzin Planı'!$G$6:$G$35,14-5)&gt;=('Özet'!$C$6+7*50)),AND(N(INDEX('İzin Planı'!$I$6:$I$35,14-5))&gt;0,INDEX('İzin Planı'!$I$6:$I$35,14-5)&lt;=('Özet'!$C$6+7*50)+6,INDEX('İzin Planı'!$J$6:$J$35,14-5)&gt;=('Özet'!$C$6+7*50)),AND(N(INDEX('İzin Planı'!$L$6:$L$35,14-5))&gt;0,INDEX('İzin Planı'!$L$6:$L$35,14-5)&lt;=('Özet'!$C$6+7*50)+6,INDEX('İzin Planı'!$M$6:$M$35,14-5)&gt;=('Özet'!$C$6+7*50))),"İ",""))</f>
      </c>
      <c r="BB14" s="13">
        <f>IF(INDEX('İzin Planı'!$C$6:$C$35,14-5)="","",IF(OR(AND(N(INDEX('İzin Planı'!$F$6:$F$35,14-5))&gt;0,INDEX('İzin Planı'!$F$6:$F$35,14-5)&lt;=('Özet'!$C$6+7*51)+6,INDEX('İzin Planı'!$G$6:$G$35,14-5)&gt;=('Özet'!$C$6+7*51)),AND(N(INDEX('İzin Planı'!$I$6:$I$35,14-5))&gt;0,INDEX('İzin Planı'!$I$6:$I$35,14-5)&lt;=('Özet'!$C$6+7*51)+6,INDEX('İzin Planı'!$J$6:$J$35,14-5)&gt;=('Özet'!$C$6+7*51)),AND(N(INDEX('İzin Planı'!$L$6:$L$35,14-5))&gt;0,INDEX('İzin Planı'!$L$6:$L$35,14-5)&lt;=('Özet'!$C$6+7*51)+6,INDEX('İzin Planı'!$M$6:$M$35,14-5)&gt;=('Özet'!$C$6+7*51))),"İ",""))</f>
      </c>
      <c r="BC14" s="13">
        <f>IF(INDEX('İzin Planı'!$C$6:$C$35,14-5)="","",IF(OR(AND(N(INDEX('İzin Planı'!$F$6:$F$35,14-5))&gt;0,INDEX('İzin Planı'!$F$6:$F$35,14-5)&lt;=('Özet'!$C$6+7*52)+6,INDEX('İzin Planı'!$G$6:$G$35,14-5)&gt;=('Özet'!$C$6+7*52)),AND(N(INDEX('İzin Planı'!$I$6:$I$35,14-5))&gt;0,INDEX('İzin Planı'!$I$6:$I$35,14-5)&lt;=('Özet'!$C$6+7*52)+6,INDEX('İzin Planı'!$J$6:$J$35,14-5)&gt;=('Özet'!$C$6+7*52)),AND(N(INDEX('İzin Planı'!$L$6:$L$35,14-5))&gt;0,INDEX('İzin Planı'!$L$6:$L$35,14-5)&lt;=('Özet'!$C$6+7*52)+6,INDEX('İzin Planı'!$M$6:$M$35,14-5)&gt;=('Özet'!$C$6+7*52))),"İ",""))</f>
      </c>
    </row>
    <row r="15" ht="18" customHeight="1" spans="1:55" x14ac:dyDescent="0.25">
      <c r="A15" s="6">
        <v>10</v>
      </c>
      <c r="B15" s="13">
        <f>IF(INDEX('İzin Planı'!$C$6:$C$35,15-5)="","",INDEX('İzin Planı'!$C$6:$C$35,15-5))</f>
      </c>
      <c r="C15" s="13">
        <f>IF(INDEX('İzin Planı'!$C$6:$C$35,15-5)="","",IF(OR(AND(N(INDEX('İzin Planı'!$F$6:$F$35,15-5))&gt;0,INDEX('İzin Planı'!$F$6:$F$35,15-5)&lt;=('Özet'!$C$6+7*0)+6,INDEX('İzin Planı'!$G$6:$G$35,15-5)&gt;=('Özet'!$C$6+7*0)),AND(N(INDEX('İzin Planı'!$I$6:$I$35,15-5))&gt;0,INDEX('İzin Planı'!$I$6:$I$35,15-5)&lt;=('Özet'!$C$6+7*0)+6,INDEX('İzin Planı'!$J$6:$J$35,15-5)&gt;=('Özet'!$C$6+7*0)),AND(N(INDEX('İzin Planı'!$L$6:$L$35,15-5))&gt;0,INDEX('İzin Planı'!$L$6:$L$35,15-5)&lt;=('Özet'!$C$6+7*0)+6,INDEX('İzin Planı'!$M$6:$M$35,15-5)&gt;=('Özet'!$C$6+7*0))),"İ",""))</f>
      </c>
      <c r="D15" s="13">
        <f>IF(INDEX('İzin Planı'!$C$6:$C$35,15-5)="","",IF(OR(AND(N(INDEX('İzin Planı'!$F$6:$F$35,15-5))&gt;0,INDEX('İzin Planı'!$F$6:$F$35,15-5)&lt;=('Özet'!$C$6+7*1)+6,INDEX('İzin Planı'!$G$6:$G$35,15-5)&gt;=('Özet'!$C$6+7*1)),AND(N(INDEX('İzin Planı'!$I$6:$I$35,15-5))&gt;0,INDEX('İzin Planı'!$I$6:$I$35,15-5)&lt;=('Özet'!$C$6+7*1)+6,INDEX('İzin Planı'!$J$6:$J$35,15-5)&gt;=('Özet'!$C$6+7*1)),AND(N(INDEX('İzin Planı'!$L$6:$L$35,15-5))&gt;0,INDEX('İzin Planı'!$L$6:$L$35,15-5)&lt;=('Özet'!$C$6+7*1)+6,INDEX('İzin Planı'!$M$6:$M$35,15-5)&gt;=('Özet'!$C$6+7*1))),"İ",""))</f>
      </c>
      <c r="E15" s="13">
        <f>IF(INDEX('İzin Planı'!$C$6:$C$35,15-5)="","",IF(OR(AND(N(INDEX('İzin Planı'!$F$6:$F$35,15-5))&gt;0,INDEX('İzin Planı'!$F$6:$F$35,15-5)&lt;=('Özet'!$C$6+7*2)+6,INDEX('İzin Planı'!$G$6:$G$35,15-5)&gt;=('Özet'!$C$6+7*2)),AND(N(INDEX('İzin Planı'!$I$6:$I$35,15-5))&gt;0,INDEX('İzin Planı'!$I$6:$I$35,15-5)&lt;=('Özet'!$C$6+7*2)+6,INDEX('İzin Planı'!$J$6:$J$35,15-5)&gt;=('Özet'!$C$6+7*2)),AND(N(INDEX('İzin Planı'!$L$6:$L$35,15-5))&gt;0,INDEX('İzin Planı'!$L$6:$L$35,15-5)&lt;=('Özet'!$C$6+7*2)+6,INDEX('İzin Planı'!$M$6:$M$35,15-5)&gt;=('Özet'!$C$6+7*2))),"İ",""))</f>
      </c>
      <c r="F15" s="13">
        <f>IF(INDEX('İzin Planı'!$C$6:$C$35,15-5)="","",IF(OR(AND(N(INDEX('İzin Planı'!$F$6:$F$35,15-5))&gt;0,INDEX('İzin Planı'!$F$6:$F$35,15-5)&lt;=('Özet'!$C$6+7*3)+6,INDEX('İzin Planı'!$G$6:$G$35,15-5)&gt;=('Özet'!$C$6+7*3)),AND(N(INDEX('İzin Planı'!$I$6:$I$35,15-5))&gt;0,INDEX('İzin Planı'!$I$6:$I$35,15-5)&lt;=('Özet'!$C$6+7*3)+6,INDEX('İzin Planı'!$J$6:$J$35,15-5)&gt;=('Özet'!$C$6+7*3)),AND(N(INDEX('İzin Planı'!$L$6:$L$35,15-5))&gt;0,INDEX('İzin Planı'!$L$6:$L$35,15-5)&lt;=('Özet'!$C$6+7*3)+6,INDEX('İzin Planı'!$M$6:$M$35,15-5)&gt;=('Özet'!$C$6+7*3))),"İ",""))</f>
      </c>
      <c r="G15" s="13">
        <f>IF(INDEX('İzin Planı'!$C$6:$C$35,15-5)="","",IF(OR(AND(N(INDEX('İzin Planı'!$F$6:$F$35,15-5))&gt;0,INDEX('İzin Planı'!$F$6:$F$35,15-5)&lt;=('Özet'!$C$6+7*4)+6,INDEX('İzin Planı'!$G$6:$G$35,15-5)&gt;=('Özet'!$C$6+7*4)),AND(N(INDEX('İzin Planı'!$I$6:$I$35,15-5))&gt;0,INDEX('İzin Planı'!$I$6:$I$35,15-5)&lt;=('Özet'!$C$6+7*4)+6,INDEX('İzin Planı'!$J$6:$J$35,15-5)&gt;=('Özet'!$C$6+7*4)),AND(N(INDEX('İzin Planı'!$L$6:$L$35,15-5))&gt;0,INDEX('İzin Planı'!$L$6:$L$35,15-5)&lt;=('Özet'!$C$6+7*4)+6,INDEX('İzin Planı'!$M$6:$M$35,15-5)&gt;=('Özet'!$C$6+7*4))),"İ",""))</f>
      </c>
      <c r="H15" s="13">
        <f>IF(INDEX('İzin Planı'!$C$6:$C$35,15-5)="","",IF(OR(AND(N(INDEX('İzin Planı'!$F$6:$F$35,15-5))&gt;0,INDEX('İzin Planı'!$F$6:$F$35,15-5)&lt;=('Özet'!$C$6+7*5)+6,INDEX('İzin Planı'!$G$6:$G$35,15-5)&gt;=('Özet'!$C$6+7*5)),AND(N(INDEX('İzin Planı'!$I$6:$I$35,15-5))&gt;0,INDEX('İzin Planı'!$I$6:$I$35,15-5)&lt;=('Özet'!$C$6+7*5)+6,INDEX('İzin Planı'!$J$6:$J$35,15-5)&gt;=('Özet'!$C$6+7*5)),AND(N(INDEX('İzin Planı'!$L$6:$L$35,15-5))&gt;0,INDEX('İzin Planı'!$L$6:$L$35,15-5)&lt;=('Özet'!$C$6+7*5)+6,INDEX('İzin Planı'!$M$6:$M$35,15-5)&gt;=('Özet'!$C$6+7*5))),"İ",""))</f>
      </c>
      <c r="I15" s="13">
        <f>IF(INDEX('İzin Planı'!$C$6:$C$35,15-5)="","",IF(OR(AND(N(INDEX('İzin Planı'!$F$6:$F$35,15-5))&gt;0,INDEX('İzin Planı'!$F$6:$F$35,15-5)&lt;=('Özet'!$C$6+7*6)+6,INDEX('İzin Planı'!$G$6:$G$35,15-5)&gt;=('Özet'!$C$6+7*6)),AND(N(INDEX('İzin Planı'!$I$6:$I$35,15-5))&gt;0,INDEX('İzin Planı'!$I$6:$I$35,15-5)&lt;=('Özet'!$C$6+7*6)+6,INDEX('İzin Planı'!$J$6:$J$35,15-5)&gt;=('Özet'!$C$6+7*6)),AND(N(INDEX('İzin Planı'!$L$6:$L$35,15-5))&gt;0,INDEX('İzin Planı'!$L$6:$L$35,15-5)&lt;=('Özet'!$C$6+7*6)+6,INDEX('İzin Planı'!$M$6:$M$35,15-5)&gt;=('Özet'!$C$6+7*6))),"İ",""))</f>
      </c>
      <c r="J15" s="13">
        <f>IF(INDEX('İzin Planı'!$C$6:$C$35,15-5)="","",IF(OR(AND(N(INDEX('İzin Planı'!$F$6:$F$35,15-5))&gt;0,INDEX('İzin Planı'!$F$6:$F$35,15-5)&lt;=('Özet'!$C$6+7*7)+6,INDEX('İzin Planı'!$G$6:$G$35,15-5)&gt;=('Özet'!$C$6+7*7)),AND(N(INDEX('İzin Planı'!$I$6:$I$35,15-5))&gt;0,INDEX('İzin Planı'!$I$6:$I$35,15-5)&lt;=('Özet'!$C$6+7*7)+6,INDEX('İzin Planı'!$J$6:$J$35,15-5)&gt;=('Özet'!$C$6+7*7)),AND(N(INDEX('İzin Planı'!$L$6:$L$35,15-5))&gt;0,INDEX('İzin Planı'!$L$6:$L$35,15-5)&lt;=('Özet'!$C$6+7*7)+6,INDEX('İzin Planı'!$M$6:$M$35,15-5)&gt;=('Özet'!$C$6+7*7))),"İ",""))</f>
      </c>
      <c r="K15" s="13">
        <f>IF(INDEX('İzin Planı'!$C$6:$C$35,15-5)="","",IF(OR(AND(N(INDEX('İzin Planı'!$F$6:$F$35,15-5))&gt;0,INDEX('İzin Planı'!$F$6:$F$35,15-5)&lt;=('Özet'!$C$6+7*8)+6,INDEX('İzin Planı'!$G$6:$G$35,15-5)&gt;=('Özet'!$C$6+7*8)),AND(N(INDEX('İzin Planı'!$I$6:$I$35,15-5))&gt;0,INDEX('İzin Planı'!$I$6:$I$35,15-5)&lt;=('Özet'!$C$6+7*8)+6,INDEX('İzin Planı'!$J$6:$J$35,15-5)&gt;=('Özet'!$C$6+7*8)),AND(N(INDEX('İzin Planı'!$L$6:$L$35,15-5))&gt;0,INDEX('İzin Planı'!$L$6:$L$35,15-5)&lt;=('Özet'!$C$6+7*8)+6,INDEX('İzin Planı'!$M$6:$M$35,15-5)&gt;=('Özet'!$C$6+7*8))),"İ",""))</f>
      </c>
      <c r="L15" s="13">
        <f>IF(INDEX('İzin Planı'!$C$6:$C$35,15-5)="","",IF(OR(AND(N(INDEX('İzin Planı'!$F$6:$F$35,15-5))&gt;0,INDEX('İzin Planı'!$F$6:$F$35,15-5)&lt;=('Özet'!$C$6+7*9)+6,INDEX('İzin Planı'!$G$6:$G$35,15-5)&gt;=('Özet'!$C$6+7*9)),AND(N(INDEX('İzin Planı'!$I$6:$I$35,15-5))&gt;0,INDEX('İzin Planı'!$I$6:$I$35,15-5)&lt;=('Özet'!$C$6+7*9)+6,INDEX('İzin Planı'!$J$6:$J$35,15-5)&gt;=('Özet'!$C$6+7*9)),AND(N(INDEX('İzin Planı'!$L$6:$L$35,15-5))&gt;0,INDEX('İzin Planı'!$L$6:$L$35,15-5)&lt;=('Özet'!$C$6+7*9)+6,INDEX('İzin Planı'!$M$6:$M$35,15-5)&gt;=('Özet'!$C$6+7*9))),"İ",""))</f>
      </c>
      <c r="M15" s="13">
        <f>IF(INDEX('İzin Planı'!$C$6:$C$35,15-5)="","",IF(OR(AND(N(INDEX('İzin Planı'!$F$6:$F$35,15-5))&gt;0,INDEX('İzin Planı'!$F$6:$F$35,15-5)&lt;=('Özet'!$C$6+7*10)+6,INDEX('İzin Planı'!$G$6:$G$35,15-5)&gt;=('Özet'!$C$6+7*10)),AND(N(INDEX('İzin Planı'!$I$6:$I$35,15-5))&gt;0,INDEX('İzin Planı'!$I$6:$I$35,15-5)&lt;=('Özet'!$C$6+7*10)+6,INDEX('İzin Planı'!$J$6:$J$35,15-5)&gt;=('Özet'!$C$6+7*10)),AND(N(INDEX('İzin Planı'!$L$6:$L$35,15-5))&gt;0,INDEX('İzin Planı'!$L$6:$L$35,15-5)&lt;=('Özet'!$C$6+7*10)+6,INDEX('İzin Planı'!$M$6:$M$35,15-5)&gt;=('Özet'!$C$6+7*10))),"İ",""))</f>
      </c>
      <c r="N15" s="13">
        <f>IF(INDEX('İzin Planı'!$C$6:$C$35,15-5)="","",IF(OR(AND(N(INDEX('İzin Planı'!$F$6:$F$35,15-5))&gt;0,INDEX('İzin Planı'!$F$6:$F$35,15-5)&lt;=('Özet'!$C$6+7*11)+6,INDEX('İzin Planı'!$G$6:$G$35,15-5)&gt;=('Özet'!$C$6+7*11)),AND(N(INDEX('İzin Planı'!$I$6:$I$35,15-5))&gt;0,INDEX('İzin Planı'!$I$6:$I$35,15-5)&lt;=('Özet'!$C$6+7*11)+6,INDEX('İzin Planı'!$J$6:$J$35,15-5)&gt;=('Özet'!$C$6+7*11)),AND(N(INDEX('İzin Planı'!$L$6:$L$35,15-5))&gt;0,INDEX('İzin Planı'!$L$6:$L$35,15-5)&lt;=('Özet'!$C$6+7*11)+6,INDEX('İzin Planı'!$M$6:$M$35,15-5)&gt;=('Özet'!$C$6+7*11))),"İ",""))</f>
      </c>
      <c r="O15" s="13">
        <f>IF(INDEX('İzin Planı'!$C$6:$C$35,15-5)="","",IF(OR(AND(N(INDEX('İzin Planı'!$F$6:$F$35,15-5))&gt;0,INDEX('İzin Planı'!$F$6:$F$35,15-5)&lt;=('Özet'!$C$6+7*12)+6,INDEX('İzin Planı'!$G$6:$G$35,15-5)&gt;=('Özet'!$C$6+7*12)),AND(N(INDEX('İzin Planı'!$I$6:$I$35,15-5))&gt;0,INDEX('İzin Planı'!$I$6:$I$35,15-5)&lt;=('Özet'!$C$6+7*12)+6,INDEX('İzin Planı'!$J$6:$J$35,15-5)&gt;=('Özet'!$C$6+7*12)),AND(N(INDEX('İzin Planı'!$L$6:$L$35,15-5))&gt;0,INDEX('İzin Planı'!$L$6:$L$35,15-5)&lt;=('Özet'!$C$6+7*12)+6,INDEX('İzin Planı'!$M$6:$M$35,15-5)&gt;=('Özet'!$C$6+7*12))),"İ",""))</f>
      </c>
      <c r="P15" s="13">
        <f>IF(INDEX('İzin Planı'!$C$6:$C$35,15-5)="","",IF(OR(AND(N(INDEX('İzin Planı'!$F$6:$F$35,15-5))&gt;0,INDEX('İzin Planı'!$F$6:$F$35,15-5)&lt;=('Özet'!$C$6+7*13)+6,INDEX('İzin Planı'!$G$6:$G$35,15-5)&gt;=('Özet'!$C$6+7*13)),AND(N(INDEX('İzin Planı'!$I$6:$I$35,15-5))&gt;0,INDEX('İzin Planı'!$I$6:$I$35,15-5)&lt;=('Özet'!$C$6+7*13)+6,INDEX('İzin Planı'!$J$6:$J$35,15-5)&gt;=('Özet'!$C$6+7*13)),AND(N(INDEX('İzin Planı'!$L$6:$L$35,15-5))&gt;0,INDEX('İzin Planı'!$L$6:$L$35,15-5)&lt;=('Özet'!$C$6+7*13)+6,INDEX('İzin Planı'!$M$6:$M$35,15-5)&gt;=('Özet'!$C$6+7*13))),"İ",""))</f>
      </c>
      <c r="Q15" s="13">
        <f>IF(INDEX('İzin Planı'!$C$6:$C$35,15-5)="","",IF(OR(AND(N(INDEX('İzin Planı'!$F$6:$F$35,15-5))&gt;0,INDEX('İzin Planı'!$F$6:$F$35,15-5)&lt;=('Özet'!$C$6+7*14)+6,INDEX('İzin Planı'!$G$6:$G$35,15-5)&gt;=('Özet'!$C$6+7*14)),AND(N(INDEX('İzin Planı'!$I$6:$I$35,15-5))&gt;0,INDEX('İzin Planı'!$I$6:$I$35,15-5)&lt;=('Özet'!$C$6+7*14)+6,INDEX('İzin Planı'!$J$6:$J$35,15-5)&gt;=('Özet'!$C$6+7*14)),AND(N(INDEX('İzin Planı'!$L$6:$L$35,15-5))&gt;0,INDEX('İzin Planı'!$L$6:$L$35,15-5)&lt;=('Özet'!$C$6+7*14)+6,INDEX('İzin Planı'!$M$6:$M$35,15-5)&gt;=('Özet'!$C$6+7*14))),"İ",""))</f>
      </c>
      <c r="R15" s="13">
        <f>IF(INDEX('İzin Planı'!$C$6:$C$35,15-5)="","",IF(OR(AND(N(INDEX('İzin Planı'!$F$6:$F$35,15-5))&gt;0,INDEX('İzin Planı'!$F$6:$F$35,15-5)&lt;=('Özet'!$C$6+7*15)+6,INDEX('İzin Planı'!$G$6:$G$35,15-5)&gt;=('Özet'!$C$6+7*15)),AND(N(INDEX('İzin Planı'!$I$6:$I$35,15-5))&gt;0,INDEX('İzin Planı'!$I$6:$I$35,15-5)&lt;=('Özet'!$C$6+7*15)+6,INDEX('İzin Planı'!$J$6:$J$35,15-5)&gt;=('Özet'!$C$6+7*15)),AND(N(INDEX('İzin Planı'!$L$6:$L$35,15-5))&gt;0,INDEX('İzin Planı'!$L$6:$L$35,15-5)&lt;=('Özet'!$C$6+7*15)+6,INDEX('İzin Planı'!$M$6:$M$35,15-5)&gt;=('Özet'!$C$6+7*15))),"İ",""))</f>
      </c>
      <c r="S15" s="13">
        <f>IF(INDEX('İzin Planı'!$C$6:$C$35,15-5)="","",IF(OR(AND(N(INDEX('İzin Planı'!$F$6:$F$35,15-5))&gt;0,INDEX('İzin Planı'!$F$6:$F$35,15-5)&lt;=('Özet'!$C$6+7*16)+6,INDEX('İzin Planı'!$G$6:$G$35,15-5)&gt;=('Özet'!$C$6+7*16)),AND(N(INDEX('İzin Planı'!$I$6:$I$35,15-5))&gt;0,INDEX('İzin Planı'!$I$6:$I$35,15-5)&lt;=('Özet'!$C$6+7*16)+6,INDEX('İzin Planı'!$J$6:$J$35,15-5)&gt;=('Özet'!$C$6+7*16)),AND(N(INDEX('İzin Planı'!$L$6:$L$35,15-5))&gt;0,INDEX('İzin Planı'!$L$6:$L$35,15-5)&lt;=('Özet'!$C$6+7*16)+6,INDEX('İzin Planı'!$M$6:$M$35,15-5)&gt;=('Özet'!$C$6+7*16))),"İ",""))</f>
      </c>
      <c r="T15" s="13">
        <f>IF(INDEX('İzin Planı'!$C$6:$C$35,15-5)="","",IF(OR(AND(N(INDEX('İzin Planı'!$F$6:$F$35,15-5))&gt;0,INDEX('İzin Planı'!$F$6:$F$35,15-5)&lt;=('Özet'!$C$6+7*17)+6,INDEX('İzin Planı'!$G$6:$G$35,15-5)&gt;=('Özet'!$C$6+7*17)),AND(N(INDEX('İzin Planı'!$I$6:$I$35,15-5))&gt;0,INDEX('İzin Planı'!$I$6:$I$35,15-5)&lt;=('Özet'!$C$6+7*17)+6,INDEX('İzin Planı'!$J$6:$J$35,15-5)&gt;=('Özet'!$C$6+7*17)),AND(N(INDEX('İzin Planı'!$L$6:$L$35,15-5))&gt;0,INDEX('İzin Planı'!$L$6:$L$35,15-5)&lt;=('Özet'!$C$6+7*17)+6,INDEX('İzin Planı'!$M$6:$M$35,15-5)&gt;=('Özet'!$C$6+7*17))),"İ",""))</f>
      </c>
      <c r="U15" s="13">
        <f>IF(INDEX('İzin Planı'!$C$6:$C$35,15-5)="","",IF(OR(AND(N(INDEX('İzin Planı'!$F$6:$F$35,15-5))&gt;0,INDEX('İzin Planı'!$F$6:$F$35,15-5)&lt;=('Özet'!$C$6+7*18)+6,INDEX('İzin Planı'!$G$6:$G$35,15-5)&gt;=('Özet'!$C$6+7*18)),AND(N(INDEX('İzin Planı'!$I$6:$I$35,15-5))&gt;0,INDEX('İzin Planı'!$I$6:$I$35,15-5)&lt;=('Özet'!$C$6+7*18)+6,INDEX('İzin Planı'!$J$6:$J$35,15-5)&gt;=('Özet'!$C$6+7*18)),AND(N(INDEX('İzin Planı'!$L$6:$L$35,15-5))&gt;0,INDEX('İzin Planı'!$L$6:$L$35,15-5)&lt;=('Özet'!$C$6+7*18)+6,INDEX('İzin Planı'!$M$6:$M$35,15-5)&gt;=('Özet'!$C$6+7*18))),"İ",""))</f>
      </c>
      <c r="V15" s="13">
        <f>IF(INDEX('İzin Planı'!$C$6:$C$35,15-5)="","",IF(OR(AND(N(INDEX('İzin Planı'!$F$6:$F$35,15-5))&gt;0,INDEX('İzin Planı'!$F$6:$F$35,15-5)&lt;=('Özet'!$C$6+7*19)+6,INDEX('İzin Planı'!$G$6:$G$35,15-5)&gt;=('Özet'!$C$6+7*19)),AND(N(INDEX('İzin Planı'!$I$6:$I$35,15-5))&gt;0,INDEX('İzin Planı'!$I$6:$I$35,15-5)&lt;=('Özet'!$C$6+7*19)+6,INDEX('İzin Planı'!$J$6:$J$35,15-5)&gt;=('Özet'!$C$6+7*19)),AND(N(INDEX('İzin Planı'!$L$6:$L$35,15-5))&gt;0,INDEX('İzin Planı'!$L$6:$L$35,15-5)&lt;=('Özet'!$C$6+7*19)+6,INDEX('İzin Planı'!$M$6:$M$35,15-5)&gt;=('Özet'!$C$6+7*19))),"İ",""))</f>
      </c>
      <c r="W15" s="13">
        <f>IF(INDEX('İzin Planı'!$C$6:$C$35,15-5)="","",IF(OR(AND(N(INDEX('İzin Planı'!$F$6:$F$35,15-5))&gt;0,INDEX('İzin Planı'!$F$6:$F$35,15-5)&lt;=('Özet'!$C$6+7*20)+6,INDEX('İzin Planı'!$G$6:$G$35,15-5)&gt;=('Özet'!$C$6+7*20)),AND(N(INDEX('İzin Planı'!$I$6:$I$35,15-5))&gt;0,INDEX('İzin Planı'!$I$6:$I$35,15-5)&lt;=('Özet'!$C$6+7*20)+6,INDEX('İzin Planı'!$J$6:$J$35,15-5)&gt;=('Özet'!$C$6+7*20)),AND(N(INDEX('İzin Planı'!$L$6:$L$35,15-5))&gt;0,INDEX('İzin Planı'!$L$6:$L$35,15-5)&lt;=('Özet'!$C$6+7*20)+6,INDEX('İzin Planı'!$M$6:$M$35,15-5)&gt;=('Özet'!$C$6+7*20))),"İ",""))</f>
      </c>
      <c r="X15" s="13">
        <f>IF(INDEX('İzin Planı'!$C$6:$C$35,15-5)="","",IF(OR(AND(N(INDEX('İzin Planı'!$F$6:$F$35,15-5))&gt;0,INDEX('İzin Planı'!$F$6:$F$35,15-5)&lt;=('Özet'!$C$6+7*21)+6,INDEX('İzin Planı'!$G$6:$G$35,15-5)&gt;=('Özet'!$C$6+7*21)),AND(N(INDEX('İzin Planı'!$I$6:$I$35,15-5))&gt;0,INDEX('İzin Planı'!$I$6:$I$35,15-5)&lt;=('Özet'!$C$6+7*21)+6,INDEX('İzin Planı'!$J$6:$J$35,15-5)&gt;=('Özet'!$C$6+7*21)),AND(N(INDEX('İzin Planı'!$L$6:$L$35,15-5))&gt;0,INDEX('İzin Planı'!$L$6:$L$35,15-5)&lt;=('Özet'!$C$6+7*21)+6,INDEX('İzin Planı'!$M$6:$M$35,15-5)&gt;=('Özet'!$C$6+7*21))),"İ",""))</f>
      </c>
      <c r="Y15" s="13">
        <f>IF(INDEX('İzin Planı'!$C$6:$C$35,15-5)="","",IF(OR(AND(N(INDEX('İzin Planı'!$F$6:$F$35,15-5))&gt;0,INDEX('İzin Planı'!$F$6:$F$35,15-5)&lt;=('Özet'!$C$6+7*22)+6,INDEX('İzin Planı'!$G$6:$G$35,15-5)&gt;=('Özet'!$C$6+7*22)),AND(N(INDEX('İzin Planı'!$I$6:$I$35,15-5))&gt;0,INDEX('İzin Planı'!$I$6:$I$35,15-5)&lt;=('Özet'!$C$6+7*22)+6,INDEX('İzin Planı'!$J$6:$J$35,15-5)&gt;=('Özet'!$C$6+7*22)),AND(N(INDEX('İzin Planı'!$L$6:$L$35,15-5))&gt;0,INDEX('İzin Planı'!$L$6:$L$35,15-5)&lt;=('Özet'!$C$6+7*22)+6,INDEX('İzin Planı'!$M$6:$M$35,15-5)&gt;=('Özet'!$C$6+7*22))),"İ",""))</f>
      </c>
      <c r="Z15" s="13">
        <f>IF(INDEX('İzin Planı'!$C$6:$C$35,15-5)="","",IF(OR(AND(N(INDEX('İzin Planı'!$F$6:$F$35,15-5))&gt;0,INDEX('İzin Planı'!$F$6:$F$35,15-5)&lt;=('Özet'!$C$6+7*23)+6,INDEX('İzin Planı'!$G$6:$G$35,15-5)&gt;=('Özet'!$C$6+7*23)),AND(N(INDEX('İzin Planı'!$I$6:$I$35,15-5))&gt;0,INDEX('İzin Planı'!$I$6:$I$35,15-5)&lt;=('Özet'!$C$6+7*23)+6,INDEX('İzin Planı'!$J$6:$J$35,15-5)&gt;=('Özet'!$C$6+7*23)),AND(N(INDEX('İzin Planı'!$L$6:$L$35,15-5))&gt;0,INDEX('İzin Planı'!$L$6:$L$35,15-5)&lt;=('Özet'!$C$6+7*23)+6,INDEX('İzin Planı'!$M$6:$M$35,15-5)&gt;=('Özet'!$C$6+7*23))),"İ",""))</f>
      </c>
      <c r="AA15" s="13">
        <f>IF(INDEX('İzin Planı'!$C$6:$C$35,15-5)="","",IF(OR(AND(N(INDEX('İzin Planı'!$F$6:$F$35,15-5))&gt;0,INDEX('İzin Planı'!$F$6:$F$35,15-5)&lt;=('Özet'!$C$6+7*24)+6,INDEX('İzin Planı'!$G$6:$G$35,15-5)&gt;=('Özet'!$C$6+7*24)),AND(N(INDEX('İzin Planı'!$I$6:$I$35,15-5))&gt;0,INDEX('İzin Planı'!$I$6:$I$35,15-5)&lt;=('Özet'!$C$6+7*24)+6,INDEX('İzin Planı'!$J$6:$J$35,15-5)&gt;=('Özet'!$C$6+7*24)),AND(N(INDEX('İzin Planı'!$L$6:$L$35,15-5))&gt;0,INDEX('İzin Planı'!$L$6:$L$35,15-5)&lt;=('Özet'!$C$6+7*24)+6,INDEX('İzin Planı'!$M$6:$M$35,15-5)&gt;=('Özet'!$C$6+7*24))),"İ",""))</f>
      </c>
      <c r="AB15" s="13">
        <f>IF(INDEX('İzin Planı'!$C$6:$C$35,15-5)="","",IF(OR(AND(N(INDEX('İzin Planı'!$F$6:$F$35,15-5))&gt;0,INDEX('İzin Planı'!$F$6:$F$35,15-5)&lt;=('Özet'!$C$6+7*25)+6,INDEX('İzin Planı'!$G$6:$G$35,15-5)&gt;=('Özet'!$C$6+7*25)),AND(N(INDEX('İzin Planı'!$I$6:$I$35,15-5))&gt;0,INDEX('İzin Planı'!$I$6:$I$35,15-5)&lt;=('Özet'!$C$6+7*25)+6,INDEX('İzin Planı'!$J$6:$J$35,15-5)&gt;=('Özet'!$C$6+7*25)),AND(N(INDEX('İzin Planı'!$L$6:$L$35,15-5))&gt;0,INDEX('İzin Planı'!$L$6:$L$35,15-5)&lt;=('Özet'!$C$6+7*25)+6,INDEX('İzin Planı'!$M$6:$M$35,15-5)&gt;=('Özet'!$C$6+7*25))),"İ",""))</f>
      </c>
      <c r="AC15" s="13">
        <f>IF(INDEX('İzin Planı'!$C$6:$C$35,15-5)="","",IF(OR(AND(N(INDEX('İzin Planı'!$F$6:$F$35,15-5))&gt;0,INDEX('İzin Planı'!$F$6:$F$35,15-5)&lt;=('Özet'!$C$6+7*26)+6,INDEX('İzin Planı'!$G$6:$G$35,15-5)&gt;=('Özet'!$C$6+7*26)),AND(N(INDEX('İzin Planı'!$I$6:$I$35,15-5))&gt;0,INDEX('İzin Planı'!$I$6:$I$35,15-5)&lt;=('Özet'!$C$6+7*26)+6,INDEX('İzin Planı'!$J$6:$J$35,15-5)&gt;=('Özet'!$C$6+7*26)),AND(N(INDEX('İzin Planı'!$L$6:$L$35,15-5))&gt;0,INDEX('İzin Planı'!$L$6:$L$35,15-5)&lt;=('Özet'!$C$6+7*26)+6,INDEX('İzin Planı'!$M$6:$M$35,15-5)&gt;=('Özet'!$C$6+7*26))),"İ",""))</f>
      </c>
      <c r="AD15" s="13">
        <f>IF(INDEX('İzin Planı'!$C$6:$C$35,15-5)="","",IF(OR(AND(N(INDEX('İzin Planı'!$F$6:$F$35,15-5))&gt;0,INDEX('İzin Planı'!$F$6:$F$35,15-5)&lt;=('Özet'!$C$6+7*27)+6,INDEX('İzin Planı'!$G$6:$G$35,15-5)&gt;=('Özet'!$C$6+7*27)),AND(N(INDEX('İzin Planı'!$I$6:$I$35,15-5))&gt;0,INDEX('İzin Planı'!$I$6:$I$35,15-5)&lt;=('Özet'!$C$6+7*27)+6,INDEX('İzin Planı'!$J$6:$J$35,15-5)&gt;=('Özet'!$C$6+7*27)),AND(N(INDEX('İzin Planı'!$L$6:$L$35,15-5))&gt;0,INDEX('İzin Planı'!$L$6:$L$35,15-5)&lt;=('Özet'!$C$6+7*27)+6,INDEX('İzin Planı'!$M$6:$M$35,15-5)&gt;=('Özet'!$C$6+7*27))),"İ",""))</f>
      </c>
      <c r="AE15" s="13">
        <f>IF(INDEX('İzin Planı'!$C$6:$C$35,15-5)="","",IF(OR(AND(N(INDEX('İzin Planı'!$F$6:$F$35,15-5))&gt;0,INDEX('İzin Planı'!$F$6:$F$35,15-5)&lt;=('Özet'!$C$6+7*28)+6,INDEX('İzin Planı'!$G$6:$G$35,15-5)&gt;=('Özet'!$C$6+7*28)),AND(N(INDEX('İzin Planı'!$I$6:$I$35,15-5))&gt;0,INDEX('İzin Planı'!$I$6:$I$35,15-5)&lt;=('Özet'!$C$6+7*28)+6,INDEX('İzin Planı'!$J$6:$J$35,15-5)&gt;=('Özet'!$C$6+7*28)),AND(N(INDEX('İzin Planı'!$L$6:$L$35,15-5))&gt;0,INDEX('İzin Planı'!$L$6:$L$35,15-5)&lt;=('Özet'!$C$6+7*28)+6,INDEX('İzin Planı'!$M$6:$M$35,15-5)&gt;=('Özet'!$C$6+7*28))),"İ",""))</f>
      </c>
      <c r="AF15" s="13">
        <f>IF(INDEX('İzin Planı'!$C$6:$C$35,15-5)="","",IF(OR(AND(N(INDEX('İzin Planı'!$F$6:$F$35,15-5))&gt;0,INDEX('İzin Planı'!$F$6:$F$35,15-5)&lt;=('Özet'!$C$6+7*29)+6,INDEX('İzin Planı'!$G$6:$G$35,15-5)&gt;=('Özet'!$C$6+7*29)),AND(N(INDEX('İzin Planı'!$I$6:$I$35,15-5))&gt;0,INDEX('İzin Planı'!$I$6:$I$35,15-5)&lt;=('Özet'!$C$6+7*29)+6,INDEX('İzin Planı'!$J$6:$J$35,15-5)&gt;=('Özet'!$C$6+7*29)),AND(N(INDEX('İzin Planı'!$L$6:$L$35,15-5))&gt;0,INDEX('İzin Planı'!$L$6:$L$35,15-5)&lt;=('Özet'!$C$6+7*29)+6,INDEX('İzin Planı'!$M$6:$M$35,15-5)&gt;=('Özet'!$C$6+7*29))),"İ",""))</f>
      </c>
      <c r="AG15" s="13">
        <f>IF(INDEX('İzin Planı'!$C$6:$C$35,15-5)="","",IF(OR(AND(N(INDEX('İzin Planı'!$F$6:$F$35,15-5))&gt;0,INDEX('İzin Planı'!$F$6:$F$35,15-5)&lt;=('Özet'!$C$6+7*30)+6,INDEX('İzin Planı'!$G$6:$G$35,15-5)&gt;=('Özet'!$C$6+7*30)),AND(N(INDEX('İzin Planı'!$I$6:$I$35,15-5))&gt;0,INDEX('İzin Planı'!$I$6:$I$35,15-5)&lt;=('Özet'!$C$6+7*30)+6,INDEX('İzin Planı'!$J$6:$J$35,15-5)&gt;=('Özet'!$C$6+7*30)),AND(N(INDEX('İzin Planı'!$L$6:$L$35,15-5))&gt;0,INDEX('İzin Planı'!$L$6:$L$35,15-5)&lt;=('Özet'!$C$6+7*30)+6,INDEX('İzin Planı'!$M$6:$M$35,15-5)&gt;=('Özet'!$C$6+7*30))),"İ",""))</f>
      </c>
      <c r="AH15" s="13">
        <f>IF(INDEX('İzin Planı'!$C$6:$C$35,15-5)="","",IF(OR(AND(N(INDEX('İzin Planı'!$F$6:$F$35,15-5))&gt;0,INDEX('İzin Planı'!$F$6:$F$35,15-5)&lt;=('Özet'!$C$6+7*31)+6,INDEX('İzin Planı'!$G$6:$G$35,15-5)&gt;=('Özet'!$C$6+7*31)),AND(N(INDEX('İzin Planı'!$I$6:$I$35,15-5))&gt;0,INDEX('İzin Planı'!$I$6:$I$35,15-5)&lt;=('Özet'!$C$6+7*31)+6,INDEX('İzin Planı'!$J$6:$J$35,15-5)&gt;=('Özet'!$C$6+7*31)),AND(N(INDEX('İzin Planı'!$L$6:$L$35,15-5))&gt;0,INDEX('İzin Planı'!$L$6:$L$35,15-5)&lt;=('Özet'!$C$6+7*31)+6,INDEX('İzin Planı'!$M$6:$M$35,15-5)&gt;=('Özet'!$C$6+7*31))),"İ",""))</f>
      </c>
      <c r="AI15" s="13">
        <f>IF(INDEX('İzin Planı'!$C$6:$C$35,15-5)="","",IF(OR(AND(N(INDEX('İzin Planı'!$F$6:$F$35,15-5))&gt;0,INDEX('İzin Planı'!$F$6:$F$35,15-5)&lt;=('Özet'!$C$6+7*32)+6,INDEX('İzin Planı'!$G$6:$G$35,15-5)&gt;=('Özet'!$C$6+7*32)),AND(N(INDEX('İzin Planı'!$I$6:$I$35,15-5))&gt;0,INDEX('İzin Planı'!$I$6:$I$35,15-5)&lt;=('Özet'!$C$6+7*32)+6,INDEX('İzin Planı'!$J$6:$J$35,15-5)&gt;=('Özet'!$C$6+7*32)),AND(N(INDEX('İzin Planı'!$L$6:$L$35,15-5))&gt;0,INDEX('İzin Planı'!$L$6:$L$35,15-5)&lt;=('Özet'!$C$6+7*32)+6,INDEX('İzin Planı'!$M$6:$M$35,15-5)&gt;=('Özet'!$C$6+7*32))),"İ",""))</f>
      </c>
      <c r="AJ15" s="13">
        <f>IF(INDEX('İzin Planı'!$C$6:$C$35,15-5)="","",IF(OR(AND(N(INDEX('İzin Planı'!$F$6:$F$35,15-5))&gt;0,INDEX('İzin Planı'!$F$6:$F$35,15-5)&lt;=('Özet'!$C$6+7*33)+6,INDEX('İzin Planı'!$G$6:$G$35,15-5)&gt;=('Özet'!$C$6+7*33)),AND(N(INDEX('İzin Planı'!$I$6:$I$35,15-5))&gt;0,INDEX('İzin Planı'!$I$6:$I$35,15-5)&lt;=('Özet'!$C$6+7*33)+6,INDEX('İzin Planı'!$J$6:$J$35,15-5)&gt;=('Özet'!$C$6+7*33)),AND(N(INDEX('İzin Planı'!$L$6:$L$35,15-5))&gt;0,INDEX('İzin Planı'!$L$6:$L$35,15-5)&lt;=('Özet'!$C$6+7*33)+6,INDEX('İzin Planı'!$M$6:$M$35,15-5)&gt;=('Özet'!$C$6+7*33))),"İ",""))</f>
      </c>
      <c r="AK15" s="13">
        <f>IF(INDEX('İzin Planı'!$C$6:$C$35,15-5)="","",IF(OR(AND(N(INDEX('İzin Planı'!$F$6:$F$35,15-5))&gt;0,INDEX('İzin Planı'!$F$6:$F$35,15-5)&lt;=('Özet'!$C$6+7*34)+6,INDEX('İzin Planı'!$G$6:$G$35,15-5)&gt;=('Özet'!$C$6+7*34)),AND(N(INDEX('İzin Planı'!$I$6:$I$35,15-5))&gt;0,INDEX('İzin Planı'!$I$6:$I$35,15-5)&lt;=('Özet'!$C$6+7*34)+6,INDEX('İzin Planı'!$J$6:$J$35,15-5)&gt;=('Özet'!$C$6+7*34)),AND(N(INDEX('İzin Planı'!$L$6:$L$35,15-5))&gt;0,INDEX('İzin Planı'!$L$6:$L$35,15-5)&lt;=('Özet'!$C$6+7*34)+6,INDEX('İzin Planı'!$M$6:$M$35,15-5)&gt;=('Özet'!$C$6+7*34))),"İ",""))</f>
      </c>
      <c r="AL15" s="13">
        <f>IF(INDEX('İzin Planı'!$C$6:$C$35,15-5)="","",IF(OR(AND(N(INDEX('İzin Planı'!$F$6:$F$35,15-5))&gt;0,INDEX('İzin Planı'!$F$6:$F$35,15-5)&lt;=('Özet'!$C$6+7*35)+6,INDEX('İzin Planı'!$G$6:$G$35,15-5)&gt;=('Özet'!$C$6+7*35)),AND(N(INDEX('İzin Planı'!$I$6:$I$35,15-5))&gt;0,INDEX('İzin Planı'!$I$6:$I$35,15-5)&lt;=('Özet'!$C$6+7*35)+6,INDEX('İzin Planı'!$J$6:$J$35,15-5)&gt;=('Özet'!$C$6+7*35)),AND(N(INDEX('İzin Planı'!$L$6:$L$35,15-5))&gt;0,INDEX('İzin Planı'!$L$6:$L$35,15-5)&lt;=('Özet'!$C$6+7*35)+6,INDEX('İzin Planı'!$M$6:$M$35,15-5)&gt;=('Özet'!$C$6+7*35))),"İ",""))</f>
      </c>
      <c r="AM15" s="13">
        <f>IF(INDEX('İzin Planı'!$C$6:$C$35,15-5)="","",IF(OR(AND(N(INDEX('İzin Planı'!$F$6:$F$35,15-5))&gt;0,INDEX('İzin Planı'!$F$6:$F$35,15-5)&lt;=('Özet'!$C$6+7*36)+6,INDEX('İzin Planı'!$G$6:$G$35,15-5)&gt;=('Özet'!$C$6+7*36)),AND(N(INDEX('İzin Planı'!$I$6:$I$35,15-5))&gt;0,INDEX('İzin Planı'!$I$6:$I$35,15-5)&lt;=('Özet'!$C$6+7*36)+6,INDEX('İzin Planı'!$J$6:$J$35,15-5)&gt;=('Özet'!$C$6+7*36)),AND(N(INDEX('İzin Planı'!$L$6:$L$35,15-5))&gt;0,INDEX('İzin Planı'!$L$6:$L$35,15-5)&lt;=('Özet'!$C$6+7*36)+6,INDEX('İzin Planı'!$M$6:$M$35,15-5)&gt;=('Özet'!$C$6+7*36))),"İ",""))</f>
      </c>
      <c r="AN15" s="13">
        <f>IF(INDEX('İzin Planı'!$C$6:$C$35,15-5)="","",IF(OR(AND(N(INDEX('İzin Planı'!$F$6:$F$35,15-5))&gt;0,INDEX('İzin Planı'!$F$6:$F$35,15-5)&lt;=('Özet'!$C$6+7*37)+6,INDEX('İzin Planı'!$G$6:$G$35,15-5)&gt;=('Özet'!$C$6+7*37)),AND(N(INDEX('İzin Planı'!$I$6:$I$35,15-5))&gt;0,INDEX('İzin Planı'!$I$6:$I$35,15-5)&lt;=('Özet'!$C$6+7*37)+6,INDEX('İzin Planı'!$J$6:$J$35,15-5)&gt;=('Özet'!$C$6+7*37)),AND(N(INDEX('İzin Planı'!$L$6:$L$35,15-5))&gt;0,INDEX('İzin Planı'!$L$6:$L$35,15-5)&lt;=('Özet'!$C$6+7*37)+6,INDEX('İzin Planı'!$M$6:$M$35,15-5)&gt;=('Özet'!$C$6+7*37))),"İ",""))</f>
      </c>
      <c r="AO15" s="13">
        <f>IF(INDEX('İzin Planı'!$C$6:$C$35,15-5)="","",IF(OR(AND(N(INDEX('İzin Planı'!$F$6:$F$35,15-5))&gt;0,INDEX('İzin Planı'!$F$6:$F$35,15-5)&lt;=('Özet'!$C$6+7*38)+6,INDEX('İzin Planı'!$G$6:$G$35,15-5)&gt;=('Özet'!$C$6+7*38)),AND(N(INDEX('İzin Planı'!$I$6:$I$35,15-5))&gt;0,INDEX('İzin Planı'!$I$6:$I$35,15-5)&lt;=('Özet'!$C$6+7*38)+6,INDEX('İzin Planı'!$J$6:$J$35,15-5)&gt;=('Özet'!$C$6+7*38)),AND(N(INDEX('İzin Planı'!$L$6:$L$35,15-5))&gt;0,INDEX('İzin Planı'!$L$6:$L$35,15-5)&lt;=('Özet'!$C$6+7*38)+6,INDEX('İzin Planı'!$M$6:$M$35,15-5)&gt;=('Özet'!$C$6+7*38))),"İ",""))</f>
      </c>
      <c r="AP15" s="13">
        <f>IF(INDEX('İzin Planı'!$C$6:$C$35,15-5)="","",IF(OR(AND(N(INDEX('İzin Planı'!$F$6:$F$35,15-5))&gt;0,INDEX('İzin Planı'!$F$6:$F$35,15-5)&lt;=('Özet'!$C$6+7*39)+6,INDEX('İzin Planı'!$G$6:$G$35,15-5)&gt;=('Özet'!$C$6+7*39)),AND(N(INDEX('İzin Planı'!$I$6:$I$35,15-5))&gt;0,INDEX('İzin Planı'!$I$6:$I$35,15-5)&lt;=('Özet'!$C$6+7*39)+6,INDEX('İzin Planı'!$J$6:$J$35,15-5)&gt;=('Özet'!$C$6+7*39)),AND(N(INDEX('İzin Planı'!$L$6:$L$35,15-5))&gt;0,INDEX('İzin Planı'!$L$6:$L$35,15-5)&lt;=('Özet'!$C$6+7*39)+6,INDEX('İzin Planı'!$M$6:$M$35,15-5)&gt;=('Özet'!$C$6+7*39))),"İ",""))</f>
      </c>
      <c r="AQ15" s="13">
        <f>IF(INDEX('İzin Planı'!$C$6:$C$35,15-5)="","",IF(OR(AND(N(INDEX('İzin Planı'!$F$6:$F$35,15-5))&gt;0,INDEX('İzin Planı'!$F$6:$F$35,15-5)&lt;=('Özet'!$C$6+7*40)+6,INDEX('İzin Planı'!$G$6:$G$35,15-5)&gt;=('Özet'!$C$6+7*40)),AND(N(INDEX('İzin Planı'!$I$6:$I$35,15-5))&gt;0,INDEX('İzin Planı'!$I$6:$I$35,15-5)&lt;=('Özet'!$C$6+7*40)+6,INDEX('İzin Planı'!$J$6:$J$35,15-5)&gt;=('Özet'!$C$6+7*40)),AND(N(INDEX('İzin Planı'!$L$6:$L$35,15-5))&gt;0,INDEX('İzin Planı'!$L$6:$L$35,15-5)&lt;=('Özet'!$C$6+7*40)+6,INDEX('İzin Planı'!$M$6:$M$35,15-5)&gt;=('Özet'!$C$6+7*40))),"İ",""))</f>
      </c>
      <c r="AR15" s="13">
        <f>IF(INDEX('İzin Planı'!$C$6:$C$35,15-5)="","",IF(OR(AND(N(INDEX('İzin Planı'!$F$6:$F$35,15-5))&gt;0,INDEX('İzin Planı'!$F$6:$F$35,15-5)&lt;=('Özet'!$C$6+7*41)+6,INDEX('İzin Planı'!$G$6:$G$35,15-5)&gt;=('Özet'!$C$6+7*41)),AND(N(INDEX('İzin Planı'!$I$6:$I$35,15-5))&gt;0,INDEX('İzin Planı'!$I$6:$I$35,15-5)&lt;=('Özet'!$C$6+7*41)+6,INDEX('İzin Planı'!$J$6:$J$35,15-5)&gt;=('Özet'!$C$6+7*41)),AND(N(INDEX('İzin Planı'!$L$6:$L$35,15-5))&gt;0,INDEX('İzin Planı'!$L$6:$L$35,15-5)&lt;=('Özet'!$C$6+7*41)+6,INDEX('İzin Planı'!$M$6:$M$35,15-5)&gt;=('Özet'!$C$6+7*41))),"İ",""))</f>
      </c>
      <c r="AS15" s="13">
        <f>IF(INDEX('İzin Planı'!$C$6:$C$35,15-5)="","",IF(OR(AND(N(INDEX('İzin Planı'!$F$6:$F$35,15-5))&gt;0,INDEX('İzin Planı'!$F$6:$F$35,15-5)&lt;=('Özet'!$C$6+7*42)+6,INDEX('İzin Planı'!$G$6:$G$35,15-5)&gt;=('Özet'!$C$6+7*42)),AND(N(INDEX('İzin Planı'!$I$6:$I$35,15-5))&gt;0,INDEX('İzin Planı'!$I$6:$I$35,15-5)&lt;=('Özet'!$C$6+7*42)+6,INDEX('İzin Planı'!$J$6:$J$35,15-5)&gt;=('Özet'!$C$6+7*42)),AND(N(INDEX('İzin Planı'!$L$6:$L$35,15-5))&gt;0,INDEX('İzin Planı'!$L$6:$L$35,15-5)&lt;=('Özet'!$C$6+7*42)+6,INDEX('İzin Planı'!$M$6:$M$35,15-5)&gt;=('Özet'!$C$6+7*42))),"İ",""))</f>
      </c>
      <c r="AT15" s="13">
        <f>IF(INDEX('İzin Planı'!$C$6:$C$35,15-5)="","",IF(OR(AND(N(INDEX('İzin Planı'!$F$6:$F$35,15-5))&gt;0,INDEX('İzin Planı'!$F$6:$F$35,15-5)&lt;=('Özet'!$C$6+7*43)+6,INDEX('İzin Planı'!$G$6:$G$35,15-5)&gt;=('Özet'!$C$6+7*43)),AND(N(INDEX('İzin Planı'!$I$6:$I$35,15-5))&gt;0,INDEX('İzin Planı'!$I$6:$I$35,15-5)&lt;=('Özet'!$C$6+7*43)+6,INDEX('İzin Planı'!$J$6:$J$35,15-5)&gt;=('Özet'!$C$6+7*43)),AND(N(INDEX('İzin Planı'!$L$6:$L$35,15-5))&gt;0,INDEX('İzin Planı'!$L$6:$L$35,15-5)&lt;=('Özet'!$C$6+7*43)+6,INDEX('İzin Planı'!$M$6:$M$35,15-5)&gt;=('Özet'!$C$6+7*43))),"İ",""))</f>
      </c>
      <c r="AU15" s="13">
        <f>IF(INDEX('İzin Planı'!$C$6:$C$35,15-5)="","",IF(OR(AND(N(INDEX('İzin Planı'!$F$6:$F$35,15-5))&gt;0,INDEX('İzin Planı'!$F$6:$F$35,15-5)&lt;=('Özet'!$C$6+7*44)+6,INDEX('İzin Planı'!$G$6:$G$35,15-5)&gt;=('Özet'!$C$6+7*44)),AND(N(INDEX('İzin Planı'!$I$6:$I$35,15-5))&gt;0,INDEX('İzin Planı'!$I$6:$I$35,15-5)&lt;=('Özet'!$C$6+7*44)+6,INDEX('İzin Planı'!$J$6:$J$35,15-5)&gt;=('Özet'!$C$6+7*44)),AND(N(INDEX('İzin Planı'!$L$6:$L$35,15-5))&gt;0,INDEX('İzin Planı'!$L$6:$L$35,15-5)&lt;=('Özet'!$C$6+7*44)+6,INDEX('İzin Planı'!$M$6:$M$35,15-5)&gt;=('Özet'!$C$6+7*44))),"İ",""))</f>
      </c>
      <c r="AV15" s="13">
        <f>IF(INDEX('İzin Planı'!$C$6:$C$35,15-5)="","",IF(OR(AND(N(INDEX('İzin Planı'!$F$6:$F$35,15-5))&gt;0,INDEX('İzin Planı'!$F$6:$F$35,15-5)&lt;=('Özet'!$C$6+7*45)+6,INDEX('İzin Planı'!$G$6:$G$35,15-5)&gt;=('Özet'!$C$6+7*45)),AND(N(INDEX('İzin Planı'!$I$6:$I$35,15-5))&gt;0,INDEX('İzin Planı'!$I$6:$I$35,15-5)&lt;=('Özet'!$C$6+7*45)+6,INDEX('İzin Planı'!$J$6:$J$35,15-5)&gt;=('Özet'!$C$6+7*45)),AND(N(INDEX('İzin Planı'!$L$6:$L$35,15-5))&gt;0,INDEX('İzin Planı'!$L$6:$L$35,15-5)&lt;=('Özet'!$C$6+7*45)+6,INDEX('İzin Planı'!$M$6:$M$35,15-5)&gt;=('Özet'!$C$6+7*45))),"İ",""))</f>
      </c>
      <c r="AW15" s="13">
        <f>IF(INDEX('İzin Planı'!$C$6:$C$35,15-5)="","",IF(OR(AND(N(INDEX('İzin Planı'!$F$6:$F$35,15-5))&gt;0,INDEX('İzin Planı'!$F$6:$F$35,15-5)&lt;=('Özet'!$C$6+7*46)+6,INDEX('İzin Planı'!$G$6:$G$35,15-5)&gt;=('Özet'!$C$6+7*46)),AND(N(INDEX('İzin Planı'!$I$6:$I$35,15-5))&gt;0,INDEX('İzin Planı'!$I$6:$I$35,15-5)&lt;=('Özet'!$C$6+7*46)+6,INDEX('İzin Planı'!$J$6:$J$35,15-5)&gt;=('Özet'!$C$6+7*46)),AND(N(INDEX('İzin Planı'!$L$6:$L$35,15-5))&gt;0,INDEX('İzin Planı'!$L$6:$L$35,15-5)&lt;=('Özet'!$C$6+7*46)+6,INDEX('İzin Planı'!$M$6:$M$35,15-5)&gt;=('Özet'!$C$6+7*46))),"İ",""))</f>
      </c>
      <c r="AX15" s="13">
        <f>IF(INDEX('İzin Planı'!$C$6:$C$35,15-5)="","",IF(OR(AND(N(INDEX('İzin Planı'!$F$6:$F$35,15-5))&gt;0,INDEX('İzin Planı'!$F$6:$F$35,15-5)&lt;=('Özet'!$C$6+7*47)+6,INDEX('İzin Planı'!$G$6:$G$35,15-5)&gt;=('Özet'!$C$6+7*47)),AND(N(INDEX('İzin Planı'!$I$6:$I$35,15-5))&gt;0,INDEX('İzin Planı'!$I$6:$I$35,15-5)&lt;=('Özet'!$C$6+7*47)+6,INDEX('İzin Planı'!$J$6:$J$35,15-5)&gt;=('Özet'!$C$6+7*47)),AND(N(INDEX('İzin Planı'!$L$6:$L$35,15-5))&gt;0,INDEX('İzin Planı'!$L$6:$L$35,15-5)&lt;=('Özet'!$C$6+7*47)+6,INDEX('İzin Planı'!$M$6:$M$35,15-5)&gt;=('Özet'!$C$6+7*47))),"İ",""))</f>
      </c>
      <c r="AY15" s="13">
        <f>IF(INDEX('İzin Planı'!$C$6:$C$35,15-5)="","",IF(OR(AND(N(INDEX('İzin Planı'!$F$6:$F$35,15-5))&gt;0,INDEX('İzin Planı'!$F$6:$F$35,15-5)&lt;=('Özet'!$C$6+7*48)+6,INDEX('İzin Planı'!$G$6:$G$35,15-5)&gt;=('Özet'!$C$6+7*48)),AND(N(INDEX('İzin Planı'!$I$6:$I$35,15-5))&gt;0,INDEX('İzin Planı'!$I$6:$I$35,15-5)&lt;=('Özet'!$C$6+7*48)+6,INDEX('İzin Planı'!$J$6:$J$35,15-5)&gt;=('Özet'!$C$6+7*48)),AND(N(INDEX('İzin Planı'!$L$6:$L$35,15-5))&gt;0,INDEX('İzin Planı'!$L$6:$L$35,15-5)&lt;=('Özet'!$C$6+7*48)+6,INDEX('İzin Planı'!$M$6:$M$35,15-5)&gt;=('Özet'!$C$6+7*48))),"İ",""))</f>
      </c>
      <c r="AZ15" s="13">
        <f>IF(INDEX('İzin Planı'!$C$6:$C$35,15-5)="","",IF(OR(AND(N(INDEX('İzin Planı'!$F$6:$F$35,15-5))&gt;0,INDEX('İzin Planı'!$F$6:$F$35,15-5)&lt;=('Özet'!$C$6+7*49)+6,INDEX('İzin Planı'!$G$6:$G$35,15-5)&gt;=('Özet'!$C$6+7*49)),AND(N(INDEX('İzin Planı'!$I$6:$I$35,15-5))&gt;0,INDEX('İzin Planı'!$I$6:$I$35,15-5)&lt;=('Özet'!$C$6+7*49)+6,INDEX('İzin Planı'!$J$6:$J$35,15-5)&gt;=('Özet'!$C$6+7*49)),AND(N(INDEX('İzin Planı'!$L$6:$L$35,15-5))&gt;0,INDEX('İzin Planı'!$L$6:$L$35,15-5)&lt;=('Özet'!$C$6+7*49)+6,INDEX('İzin Planı'!$M$6:$M$35,15-5)&gt;=('Özet'!$C$6+7*49))),"İ",""))</f>
      </c>
      <c r="BA15" s="13">
        <f>IF(INDEX('İzin Planı'!$C$6:$C$35,15-5)="","",IF(OR(AND(N(INDEX('İzin Planı'!$F$6:$F$35,15-5))&gt;0,INDEX('İzin Planı'!$F$6:$F$35,15-5)&lt;=('Özet'!$C$6+7*50)+6,INDEX('İzin Planı'!$G$6:$G$35,15-5)&gt;=('Özet'!$C$6+7*50)),AND(N(INDEX('İzin Planı'!$I$6:$I$35,15-5))&gt;0,INDEX('İzin Planı'!$I$6:$I$35,15-5)&lt;=('Özet'!$C$6+7*50)+6,INDEX('İzin Planı'!$J$6:$J$35,15-5)&gt;=('Özet'!$C$6+7*50)),AND(N(INDEX('İzin Planı'!$L$6:$L$35,15-5))&gt;0,INDEX('İzin Planı'!$L$6:$L$35,15-5)&lt;=('Özet'!$C$6+7*50)+6,INDEX('İzin Planı'!$M$6:$M$35,15-5)&gt;=('Özet'!$C$6+7*50))),"İ",""))</f>
      </c>
      <c r="BB15" s="13">
        <f>IF(INDEX('İzin Planı'!$C$6:$C$35,15-5)="","",IF(OR(AND(N(INDEX('İzin Planı'!$F$6:$F$35,15-5))&gt;0,INDEX('İzin Planı'!$F$6:$F$35,15-5)&lt;=('Özet'!$C$6+7*51)+6,INDEX('İzin Planı'!$G$6:$G$35,15-5)&gt;=('Özet'!$C$6+7*51)),AND(N(INDEX('İzin Planı'!$I$6:$I$35,15-5))&gt;0,INDEX('İzin Planı'!$I$6:$I$35,15-5)&lt;=('Özet'!$C$6+7*51)+6,INDEX('İzin Planı'!$J$6:$J$35,15-5)&gt;=('Özet'!$C$6+7*51)),AND(N(INDEX('İzin Planı'!$L$6:$L$35,15-5))&gt;0,INDEX('İzin Planı'!$L$6:$L$35,15-5)&lt;=('Özet'!$C$6+7*51)+6,INDEX('İzin Planı'!$M$6:$M$35,15-5)&gt;=('Özet'!$C$6+7*51))),"İ",""))</f>
      </c>
      <c r="BC15" s="13">
        <f>IF(INDEX('İzin Planı'!$C$6:$C$35,15-5)="","",IF(OR(AND(N(INDEX('İzin Planı'!$F$6:$F$35,15-5))&gt;0,INDEX('İzin Planı'!$F$6:$F$35,15-5)&lt;=('Özet'!$C$6+7*52)+6,INDEX('İzin Planı'!$G$6:$G$35,15-5)&gt;=('Özet'!$C$6+7*52)),AND(N(INDEX('İzin Planı'!$I$6:$I$35,15-5))&gt;0,INDEX('İzin Planı'!$I$6:$I$35,15-5)&lt;=('Özet'!$C$6+7*52)+6,INDEX('İzin Planı'!$J$6:$J$35,15-5)&gt;=('Özet'!$C$6+7*52)),AND(N(INDEX('İzin Planı'!$L$6:$L$35,15-5))&gt;0,INDEX('İzin Planı'!$L$6:$L$35,15-5)&lt;=('Özet'!$C$6+7*52)+6,INDEX('İzin Planı'!$M$6:$M$35,15-5)&gt;=('Özet'!$C$6+7*52))),"İ",""))</f>
      </c>
    </row>
    <row r="16" ht="18" customHeight="1" spans="1:55" x14ac:dyDescent="0.25">
      <c r="A16" s="6">
        <v>11</v>
      </c>
      <c r="B16" s="13">
        <f>IF(INDEX('İzin Planı'!$C$6:$C$35,16-5)="","",INDEX('İzin Planı'!$C$6:$C$35,16-5))</f>
      </c>
      <c r="C16" s="13">
        <f>IF(INDEX('İzin Planı'!$C$6:$C$35,16-5)="","",IF(OR(AND(N(INDEX('İzin Planı'!$F$6:$F$35,16-5))&gt;0,INDEX('İzin Planı'!$F$6:$F$35,16-5)&lt;=('Özet'!$C$6+7*0)+6,INDEX('İzin Planı'!$G$6:$G$35,16-5)&gt;=('Özet'!$C$6+7*0)),AND(N(INDEX('İzin Planı'!$I$6:$I$35,16-5))&gt;0,INDEX('İzin Planı'!$I$6:$I$35,16-5)&lt;=('Özet'!$C$6+7*0)+6,INDEX('İzin Planı'!$J$6:$J$35,16-5)&gt;=('Özet'!$C$6+7*0)),AND(N(INDEX('İzin Planı'!$L$6:$L$35,16-5))&gt;0,INDEX('İzin Planı'!$L$6:$L$35,16-5)&lt;=('Özet'!$C$6+7*0)+6,INDEX('İzin Planı'!$M$6:$M$35,16-5)&gt;=('Özet'!$C$6+7*0))),"İ",""))</f>
      </c>
      <c r="D16" s="13">
        <f>IF(INDEX('İzin Planı'!$C$6:$C$35,16-5)="","",IF(OR(AND(N(INDEX('İzin Planı'!$F$6:$F$35,16-5))&gt;0,INDEX('İzin Planı'!$F$6:$F$35,16-5)&lt;=('Özet'!$C$6+7*1)+6,INDEX('İzin Planı'!$G$6:$G$35,16-5)&gt;=('Özet'!$C$6+7*1)),AND(N(INDEX('İzin Planı'!$I$6:$I$35,16-5))&gt;0,INDEX('İzin Planı'!$I$6:$I$35,16-5)&lt;=('Özet'!$C$6+7*1)+6,INDEX('İzin Planı'!$J$6:$J$35,16-5)&gt;=('Özet'!$C$6+7*1)),AND(N(INDEX('İzin Planı'!$L$6:$L$35,16-5))&gt;0,INDEX('İzin Planı'!$L$6:$L$35,16-5)&lt;=('Özet'!$C$6+7*1)+6,INDEX('İzin Planı'!$M$6:$M$35,16-5)&gt;=('Özet'!$C$6+7*1))),"İ",""))</f>
      </c>
      <c r="E16" s="13">
        <f>IF(INDEX('İzin Planı'!$C$6:$C$35,16-5)="","",IF(OR(AND(N(INDEX('İzin Planı'!$F$6:$F$35,16-5))&gt;0,INDEX('İzin Planı'!$F$6:$F$35,16-5)&lt;=('Özet'!$C$6+7*2)+6,INDEX('İzin Planı'!$G$6:$G$35,16-5)&gt;=('Özet'!$C$6+7*2)),AND(N(INDEX('İzin Planı'!$I$6:$I$35,16-5))&gt;0,INDEX('İzin Planı'!$I$6:$I$35,16-5)&lt;=('Özet'!$C$6+7*2)+6,INDEX('İzin Planı'!$J$6:$J$35,16-5)&gt;=('Özet'!$C$6+7*2)),AND(N(INDEX('İzin Planı'!$L$6:$L$35,16-5))&gt;0,INDEX('İzin Planı'!$L$6:$L$35,16-5)&lt;=('Özet'!$C$6+7*2)+6,INDEX('İzin Planı'!$M$6:$M$35,16-5)&gt;=('Özet'!$C$6+7*2))),"İ",""))</f>
      </c>
      <c r="F16" s="13">
        <f>IF(INDEX('İzin Planı'!$C$6:$C$35,16-5)="","",IF(OR(AND(N(INDEX('İzin Planı'!$F$6:$F$35,16-5))&gt;0,INDEX('İzin Planı'!$F$6:$F$35,16-5)&lt;=('Özet'!$C$6+7*3)+6,INDEX('İzin Planı'!$G$6:$G$35,16-5)&gt;=('Özet'!$C$6+7*3)),AND(N(INDEX('İzin Planı'!$I$6:$I$35,16-5))&gt;0,INDEX('İzin Planı'!$I$6:$I$35,16-5)&lt;=('Özet'!$C$6+7*3)+6,INDEX('İzin Planı'!$J$6:$J$35,16-5)&gt;=('Özet'!$C$6+7*3)),AND(N(INDEX('İzin Planı'!$L$6:$L$35,16-5))&gt;0,INDEX('İzin Planı'!$L$6:$L$35,16-5)&lt;=('Özet'!$C$6+7*3)+6,INDEX('İzin Planı'!$M$6:$M$35,16-5)&gt;=('Özet'!$C$6+7*3))),"İ",""))</f>
      </c>
      <c r="G16" s="13">
        <f>IF(INDEX('İzin Planı'!$C$6:$C$35,16-5)="","",IF(OR(AND(N(INDEX('İzin Planı'!$F$6:$F$35,16-5))&gt;0,INDEX('İzin Planı'!$F$6:$F$35,16-5)&lt;=('Özet'!$C$6+7*4)+6,INDEX('İzin Planı'!$G$6:$G$35,16-5)&gt;=('Özet'!$C$6+7*4)),AND(N(INDEX('İzin Planı'!$I$6:$I$35,16-5))&gt;0,INDEX('İzin Planı'!$I$6:$I$35,16-5)&lt;=('Özet'!$C$6+7*4)+6,INDEX('İzin Planı'!$J$6:$J$35,16-5)&gt;=('Özet'!$C$6+7*4)),AND(N(INDEX('İzin Planı'!$L$6:$L$35,16-5))&gt;0,INDEX('İzin Planı'!$L$6:$L$35,16-5)&lt;=('Özet'!$C$6+7*4)+6,INDEX('İzin Planı'!$M$6:$M$35,16-5)&gt;=('Özet'!$C$6+7*4))),"İ",""))</f>
      </c>
      <c r="H16" s="13">
        <f>IF(INDEX('İzin Planı'!$C$6:$C$35,16-5)="","",IF(OR(AND(N(INDEX('İzin Planı'!$F$6:$F$35,16-5))&gt;0,INDEX('İzin Planı'!$F$6:$F$35,16-5)&lt;=('Özet'!$C$6+7*5)+6,INDEX('İzin Planı'!$G$6:$G$35,16-5)&gt;=('Özet'!$C$6+7*5)),AND(N(INDEX('İzin Planı'!$I$6:$I$35,16-5))&gt;0,INDEX('İzin Planı'!$I$6:$I$35,16-5)&lt;=('Özet'!$C$6+7*5)+6,INDEX('İzin Planı'!$J$6:$J$35,16-5)&gt;=('Özet'!$C$6+7*5)),AND(N(INDEX('İzin Planı'!$L$6:$L$35,16-5))&gt;0,INDEX('İzin Planı'!$L$6:$L$35,16-5)&lt;=('Özet'!$C$6+7*5)+6,INDEX('İzin Planı'!$M$6:$M$35,16-5)&gt;=('Özet'!$C$6+7*5))),"İ",""))</f>
      </c>
      <c r="I16" s="13">
        <f>IF(INDEX('İzin Planı'!$C$6:$C$35,16-5)="","",IF(OR(AND(N(INDEX('İzin Planı'!$F$6:$F$35,16-5))&gt;0,INDEX('İzin Planı'!$F$6:$F$35,16-5)&lt;=('Özet'!$C$6+7*6)+6,INDEX('İzin Planı'!$G$6:$G$35,16-5)&gt;=('Özet'!$C$6+7*6)),AND(N(INDEX('İzin Planı'!$I$6:$I$35,16-5))&gt;0,INDEX('İzin Planı'!$I$6:$I$35,16-5)&lt;=('Özet'!$C$6+7*6)+6,INDEX('İzin Planı'!$J$6:$J$35,16-5)&gt;=('Özet'!$C$6+7*6)),AND(N(INDEX('İzin Planı'!$L$6:$L$35,16-5))&gt;0,INDEX('İzin Planı'!$L$6:$L$35,16-5)&lt;=('Özet'!$C$6+7*6)+6,INDEX('İzin Planı'!$M$6:$M$35,16-5)&gt;=('Özet'!$C$6+7*6))),"İ",""))</f>
      </c>
      <c r="J16" s="13">
        <f>IF(INDEX('İzin Planı'!$C$6:$C$35,16-5)="","",IF(OR(AND(N(INDEX('İzin Planı'!$F$6:$F$35,16-5))&gt;0,INDEX('İzin Planı'!$F$6:$F$35,16-5)&lt;=('Özet'!$C$6+7*7)+6,INDEX('İzin Planı'!$G$6:$G$35,16-5)&gt;=('Özet'!$C$6+7*7)),AND(N(INDEX('İzin Planı'!$I$6:$I$35,16-5))&gt;0,INDEX('İzin Planı'!$I$6:$I$35,16-5)&lt;=('Özet'!$C$6+7*7)+6,INDEX('İzin Planı'!$J$6:$J$35,16-5)&gt;=('Özet'!$C$6+7*7)),AND(N(INDEX('İzin Planı'!$L$6:$L$35,16-5))&gt;0,INDEX('İzin Planı'!$L$6:$L$35,16-5)&lt;=('Özet'!$C$6+7*7)+6,INDEX('İzin Planı'!$M$6:$M$35,16-5)&gt;=('Özet'!$C$6+7*7))),"İ",""))</f>
      </c>
      <c r="K16" s="13">
        <f>IF(INDEX('İzin Planı'!$C$6:$C$35,16-5)="","",IF(OR(AND(N(INDEX('İzin Planı'!$F$6:$F$35,16-5))&gt;0,INDEX('İzin Planı'!$F$6:$F$35,16-5)&lt;=('Özet'!$C$6+7*8)+6,INDEX('İzin Planı'!$G$6:$G$35,16-5)&gt;=('Özet'!$C$6+7*8)),AND(N(INDEX('İzin Planı'!$I$6:$I$35,16-5))&gt;0,INDEX('İzin Planı'!$I$6:$I$35,16-5)&lt;=('Özet'!$C$6+7*8)+6,INDEX('İzin Planı'!$J$6:$J$35,16-5)&gt;=('Özet'!$C$6+7*8)),AND(N(INDEX('İzin Planı'!$L$6:$L$35,16-5))&gt;0,INDEX('İzin Planı'!$L$6:$L$35,16-5)&lt;=('Özet'!$C$6+7*8)+6,INDEX('İzin Planı'!$M$6:$M$35,16-5)&gt;=('Özet'!$C$6+7*8))),"İ",""))</f>
      </c>
      <c r="L16" s="13">
        <f>IF(INDEX('İzin Planı'!$C$6:$C$35,16-5)="","",IF(OR(AND(N(INDEX('İzin Planı'!$F$6:$F$35,16-5))&gt;0,INDEX('İzin Planı'!$F$6:$F$35,16-5)&lt;=('Özet'!$C$6+7*9)+6,INDEX('İzin Planı'!$G$6:$G$35,16-5)&gt;=('Özet'!$C$6+7*9)),AND(N(INDEX('İzin Planı'!$I$6:$I$35,16-5))&gt;0,INDEX('İzin Planı'!$I$6:$I$35,16-5)&lt;=('Özet'!$C$6+7*9)+6,INDEX('İzin Planı'!$J$6:$J$35,16-5)&gt;=('Özet'!$C$6+7*9)),AND(N(INDEX('İzin Planı'!$L$6:$L$35,16-5))&gt;0,INDEX('İzin Planı'!$L$6:$L$35,16-5)&lt;=('Özet'!$C$6+7*9)+6,INDEX('İzin Planı'!$M$6:$M$35,16-5)&gt;=('Özet'!$C$6+7*9))),"İ",""))</f>
      </c>
      <c r="M16" s="13">
        <f>IF(INDEX('İzin Planı'!$C$6:$C$35,16-5)="","",IF(OR(AND(N(INDEX('İzin Planı'!$F$6:$F$35,16-5))&gt;0,INDEX('İzin Planı'!$F$6:$F$35,16-5)&lt;=('Özet'!$C$6+7*10)+6,INDEX('İzin Planı'!$G$6:$G$35,16-5)&gt;=('Özet'!$C$6+7*10)),AND(N(INDEX('İzin Planı'!$I$6:$I$35,16-5))&gt;0,INDEX('İzin Planı'!$I$6:$I$35,16-5)&lt;=('Özet'!$C$6+7*10)+6,INDEX('İzin Planı'!$J$6:$J$35,16-5)&gt;=('Özet'!$C$6+7*10)),AND(N(INDEX('İzin Planı'!$L$6:$L$35,16-5))&gt;0,INDEX('İzin Planı'!$L$6:$L$35,16-5)&lt;=('Özet'!$C$6+7*10)+6,INDEX('İzin Planı'!$M$6:$M$35,16-5)&gt;=('Özet'!$C$6+7*10))),"İ",""))</f>
      </c>
      <c r="N16" s="13">
        <f>IF(INDEX('İzin Planı'!$C$6:$C$35,16-5)="","",IF(OR(AND(N(INDEX('İzin Planı'!$F$6:$F$35,16-5))&gt;0,INDEX('İzin Planı'!$F$6:$F$35,16-5)&lt;=('Özet'!$C$6+7*11)+6,INDEX('İzin Planı'!$G$6:$G$35,16-5)&gt;=('Özet'!$C$6+7*11)),AND(N(INDEX('İzin Planı'!$I$6:$I$35,16-5))&gt;0,INDEX('İzin Planı'!$I$6:$I$35,16-5)&lt;=('Özet'!$C$6+7*11)+6,INDEX('İzin Planı'!$J$6:$J$35,16-5)&gt;=('Özet'!$C$6+7*11)),AND(N(INDEX('İzin Planı'!$L$6:$L$35,16-5))&gt;0,INDEX('İzin Planı'!$L$6:$L$35,16-5)&lt;=('Özet'!$C$6+7*11)+6,INDEX('İzin Planı'!$M$6:$M$35,16-5)&gt;=('Özet'!$C$6+7*11))),"İ",""))</f>
      </c>
      <c r="O16" s="13">
        <f>IF(INDEX('İzin Planı'!$C$6:$C$35,16-5)="","",IF(OR(AND(N(INDEX('İzin Planı'!$F$6:$F$35,16-5))&gt;0,INDEX('İzin Planı'!$F$6:$F$35,16-5)&lt;=('Özet'!$C$6+7*12)+6,INDEX('İzin Planı'!$G$6:$G$35,16-5)&gt;=('Özet'!$C$6+7*12)),AND(N(INDEX('İzin Planı'!$I$6:$I$35,16-5))&gt;0,INDEX('İzin Planı'!$I$6:$I$35,16-5)&lt;=('Özet'!$C$6+7*12)+6,INDEX('İzin Planı'!$J$6:$J$35,16-5)&gt;=('Özet'!$C$6+7*12)),AND(N(INDEX('İzin Planı'!$L$6:$L$35,16-5))&gt;0,INDEX('İzin Planı'!$L$6:$L$35,16-5)&lt;=('Özet'!$C$6+7*12)+6,INDEX('İzin Planı'!$M$6:$M$35,16-5)&gt;=('Özet'!$C$6+7*12))),"İ",""))</f>
      </c>
      <c r="P16" s="13">
        <f>IF(INDEX('İzin Planı'!$C$6:$C$35,16-5)="","",IF(OR(AND(N(INDEX('İzin Planı'!$F$6:$F$35,16-5))&gt;0,INDEX('İzin Planı'!$F$6:$F$35,16-5)&lt;=('Özet'!$C$6+7*13)+6,INDEX('İzin Planı'!$G$6:$G$35,16-5)&gt;=('Özet'!$C$6+7*13)),AND(N(INDEX('İzin Planı'!$I$6:$I$35,16-5))&gt;0,INDEX('İzin Planı'!$I$6:$I$35,16-5)&lt;=('Özet'!$C$6+7*13)+6,INDEX('İzin Planı'!$J$6:$J$35,16-5)&gt;=('Özet'!$C$6+7*13)),AND(N(INDEX('İzin Planı'!$L$6:$L$35,16-5))&gt;0,INDEX('İzin Planı'!$L$6:$L$35,16-5)&lt;=('Özet'!$C$6+7*13)+6,INDEX('İzin Planı'!$M$6:$M$35,16-5)&gt;=('Özet'!$C$6+7*13))),"İ",""))</f>
      </c>
      <c r="Q16" s="13">
        <f>IF(INDEX('İzin Planı'!$C$6:$C$35,16-5)="","",IF(OR(AND(N(INDEX('İzin Planı'!$F$6:$F$35,16-5))&gt;0,INDEX('İzin Planı'!$F$6:$F$35,16-5)&lt;=('Özet'!$C$6+7*14)+6,INDEX('İzin Planı'!$G$6:$G$35,16-5)&gt;=('Özet'!$C$6+7*14)),AND(N(INDEX('İzin Planı'!$I$6:$I$35,16-5))&gt;0,INDEX('İzin Planı'!$I$6:$I$35,16-5)&lt;=('Özet'!$C$6+7*14)+6,INDEX('İzin Planı'!$J$6:$J$35,16-5)&gt;=('Özet'!$C$6+7*14)),AND(N(INDEX('İzin Planı'!$L$6:$L$35,16-5))&gt;0,INDEX('İzin Planı'!$L$6:$L$35,16-5)&lt;=('Özet'!$C$6+7*14)+6,INDEX('İzin Planı'!$M$6:$M$35,16-5)&gt;=('Özet'!$C$6+7*14))),"İ",""))</f>
      </c>
      <c r="R16" s="13">
        <f>IF(INDEX('İzin Planı'!$C$6:$C$35,16-5)="","",IF(OR(AND(N(INDEX('İzin Planı'!$F$6:$F$35,16-5))&gt;0,INDEX('İzin Planı'!$F$6:$F$35,16-5)&lt;=('Özet'!$C$6+7*15)+6,INDEX('İzin Planı'!$G$6:$G$35,16-5)&gt;=('Özet'!$C$6+7*15)),AND(N(INDEX('İzin Planı'!$I$6:$I$35,16-5))&gt;0,INDEX('İzin Planı'!$I$6:$I$35,16-5)&lt;=('Özet'!$C$6+7*15)+6,INDEX('İzin Planı'!$J$6:$J$35,16-5)&gt;=('Özet'!$C$6+7*15)),AND(N(INDEX('İzin Planı'!$L$6:$L$35,16-5))&gt;0,INDEX('İzin Planı'!$L$6:$L$35,16-5)&lt;=('Özet'!$C$6+7*15)+6,INDEX('İzin Planı'!$M$6:$M$35,16-5)&gt;=('Özet'!$C$6+7*15))),"İ",""))</f>
      </c>
      <c r="S16" s="13">
        <f>IF(INDEX('İzin Planı'!$C$6:$C$35,16-5)="","",IF(OR(AND(N(INDEX('İzin Planı'!$F$6:$F$35,16-5))&gt;0,INDEX('İzin Planı'!$F$6:$F$35,16-5)&lt;=('Özet'!$C$6+7*16)+6,INDEX('İzin Planı'!$G$6:$G$35,16-5)&gt;=('Özet'!$C$6+7*16)),AND(N(INDEX('İzin Planı'!$I$6:$I$35,16-5))&gt;0,INDEX('İzin Planı'!$I$6:$I$35,16-5)&lt;=('Özet'!$C$6+7*16)+6,INDEX('İzin Planı'!$J$6:$J$35,16-5)&gt;=('Özet'!$C$6+7*16)),AND(N(INDEX('İzin Planı'!$L$6:$L$35,16-5))&gt;0,INDEX('İzin Planı'!$L$6:$L$35,16-5)&lt;=('Özet'!$C$6+7*16)+6,INDEX('İzin Planı'!$M$6:$M$35,16-5)&gt;=('Özet'!$C$6+7*16))),"İ",""))</f>
      </c>
      <c r="T16" s="13">
        <f>IF(INDEX('İzin Planı'!$C$6:$C$35,16-5)="","",IF(OR(AND(N(INDEX('İzin Planı'!$F$6:$F$35,16-5))&gt;0,INDEX('İzin Planı'!$F$6:$F$35,16-5)&lt;=('Özet'!$C$6+7*17)+6,INDEX('İzin Planı'!$G$6:$G$35,16-5)&gt;=('Özet'!$C$6+7*17)),AND(N(INDEX('İzin Planı'!$I$6:$I$35,16-5))&gt;0,INDEX('İzin Planı'!$I$6:$I$35,16-5)&lt;=('Özet'!$C$6+7*17)+6,INDEX('İzin Planı'!$J$6:$J$35,16-5)&gt;=('Özet'!$C$6+7*17)),AND(N(INDEX('İzin Planı'!$L$6:$L$35,16-5))&gt;0,INDEX('İzin Planı'!$L$6:$L$35,16-5)&lt;=('Özet'!$C$6+7*17)+6,INDEX('İzin Planı'!$M$6:$M$35,16-5)&gt;=('Özet'!$C$6+7*17))),"İ",""))</f>
      </c>
      <c r="U16" s="13">
        <f>IF(INDEX('İzin Planı'!$C$6:$C$35,16-5)="","",IF(OR(AND(N(INDEX('İzin Planı'!$F$6:$F$35,16-5))&gt;0,INDEX('İzin Planı'!$F$6:$F$35,16-5)&lt;=('Özet'!$C$6+7*18)+6,INDEX('İzin Planı'!$G$6:$G$35,16-5)&gt;=('Özet'!$C$6+7*18)),AND(N(INDEX('İzin Planı'!$I$6:$I$35,16-5))&gt;0,INDEX('İzin Planı'!$I$6:$I$35,16-5)&lt;=('Özet'!$C$6+7*18)+6,INDEX('İzin Planı'!$J$6:$J$35,16-5)&gt;=('Özet'!$C$6+7*18)),AND(N(INDEX('İzin Planı'!$L$6:$L$35,16-5))&gt;0,INDEX('İzin Planı'!$L$6:$L$35,16-5)&lt;=('Özet'!$C$6+7*18)+6,INDEX('İzin Planı'!$M$6:$M$35,16-5)&gt;=('Özet'!$C$6+7*18))),"İ",""))</f>
      </c>
      <c r="V16" s="13">
        <f>IF(INDEX('İzin Planı'!$C$6:$C$35,16-5)="","",IF(OR(AND(N(INDEX('İzin Planı'!$F$6:$F$35,16-5))&gt;0,INDEX('İzin Planı'!$F$6:$F$35,16-5)&lt;=('Özet'!$C$6+7*19)+6,INDEX('İzin Planı'!$G$6:$G$35,16-5)&gt;=('Özet'!$C$6+7*19)),AND(N(INDEX('İzin Planı'!$I$6:$I$35,16-5))&gt;0,INDEX('İzin Planı'!$I$6:$I$35,16-5)&lt;=('Özet'!$C$6+7*19)+6,INDEX('İzin Planı'!$J$6:$J$35,16-5)&gt;=('Özet'!$C$6+7*19)),AND(N(INDEX('İzin Planı'!$L$6:$L$35,16-5))&gt;0,INDEX('İzin Planı'!$L$6:$L$35,16-5)&lt;=('Özet'!$C$6+7*19)+6,INDEX('İzin Planı'!$M$6:$M$35,16-5)&gt;=('Özet'!$C$6+7*19))),"İ",""))</f>
      </c>
      <c r="W16" s="13">
        <f>IF(INDEX('İzin Planı'!$C$6:$C$35,16-5)="","",IF(OR(AND(N(INDEX('İzin Planı'!$F$6:$F$35,16-5))&gt;0,INDEX('İzin Planı'!$F$6:$F$35,16-5)&lt;=('Özet'!$C$6+7*20)+6,INDEX('İzin Planı'!$G$6:$G$35,16-5)&gt;=('Özet'!$C$6+7*20)),AND(N(INDEX('İzin Planı'!$I$6:$I$35,16-5))&gt;0,INDEX('İzin Planı'!$I$6:$I$35,16-5)&lt;=('Özet'!$C$6+7*20)+6,INDEX('İzin Planı'!$J$6:$J$35,16-5)&gt;=('Özet'!$C$6+7*20)),AND(N(INDEX('İzin Planı'!$L$6:$L$35,16-5))&gt;0,INDEX('İzin Planı'!$L$6:$L$35,16-5)&lt;=('Özet'!$C$6+7*20)+6,INDEX('İzin Planı'!$M$6:$M$35,16-5)&gt;=('Özet'!$C$6+7*20))),"İ",""))</f>
      </c>
      <c r="X16" s="13">
        <f>IF(INDEX('İzin Planı'!$C$6:$C$35,16-5)="","",IF(OR(AND(N(INDEX('İzin Planı'!$F$6:$F$35,16-5))&gt;0,INDEX('İzin Planı'!$F$6:$F$35,16-5)&lt;=('Özet'!$C$6+7*21)+6,INDEX('İzin Planı'!$G$6:$G$35,16-5)&gt;=('Özet'!$C$6+7*21)),AND(N(INDEX('İzin Planı'!$I$6:$I$35,16-5))&gt;0,INDEX('İzin Planı'!$I$6:$I$35,16-5)&lt;=('Özet'!$C$6+7*21)+6,INDEX('İzin Planı'!$J$6:$J$35,16-5)&gt;=('Özet'!$C$6+7*21)),AND(N(INDEX('İzin Planı'!$L$6:$L$35,16-5))&gt;0,INDEX('İzin Planı'!$L$6:$L$35,16-5)&lt;=('Özet'!$C$6+7*21)+6,INDEX('İzin Planı'!$M$6:$M$35,16-5)&gt;=('Özet'!$C$6+7*21))),"İ",""))</f>
      </c>
      <c r="Y16" s="13">
        <f>IF(INDEX('İzin Planı'!$C$6:$C$35,16-5)="","",IF(OR(AND(N(INDEX('İzin Planı'!$F$6:$F$35,16-5))&gt;0,INDEX('İzin Planı'!$F$6:$F$35,16-5)&lt;=('Özet'!$C$6+7*22)+6,INDEX('İzin Planı'!$G$6:$G$35,16-5)&gt;=('Özet'!$C$6+7*22)),AND(N(INDEX('İzin Planı'!$I$6:$I$35,16-5))&gt;0,INDEX('İzin Planı'!$I$6:$I$35,16-5)&lt;=('Özet'!$C$6+7*22)+6,INDEX('İzin Planı'!$J$6:$J$35,16-5)&gt;=('Özet'!$C$6+7*22)),AND(N(INDEX('İzin Planı'!$L$6:$L$35,16-5))&gt;0,INDEX('İzin Planı'!$L$6:$L$35,16-5)&lt;=('Özet'!$C$6+7*22)+6,INDEX('İzin Planı'!$M$6:$M$35,16-5)&gt;=('Özet'!$C$6+7*22))),"İ",""))</f>
      </c>
      <c r="Z16" s="13">
        <f>IF(INDEX('İzin Planı'!$C$6:$C$35,16-5)="","",IF(OR(AND(N(INDEX('İzin Planı'!$F$6:$F$35,16-5))&gt;0,INDEX('İzin Planı'!$F$6:$F$35,16-5)&lt;=('Özet'!$C$6+7*23)+6,INDEX('İzin Planı'!$G$6:$G$35,16-5)&gt;=('Özet'!$C$6+7*23)),AND(N(INDEX('İzin Planı'!$I$6:$I$35,16-5))&gt;0,INDEX('İzin Planı'!$I$6:$I$35,16-5)&lt;=('Özet'!$C$6+7*23)+6,INDEX('İzin Planı'!$J$6:$J$35,16-5)&gt;=('Özet'!$C$6+7*23)),AND(N(INDEX('İzin Planı'!$L$6:$L$35,16-5))&gt;0,INDEX('İzin Planı'!$L$6:$L$35,16-5)&lt;=('Özet'!$C$6+7*23)+6,INDEX('İzin Planı'!$M$6:$M$35,16-5)&gt;=('Özet'!$C$6+7*23))),"İ",""))</f>
      </c>
      <c r="AA16" s="13">
        <f>IF(INDEX('İzin Planı'!$C$6:$C$35,16-5)="","",IF(OR(AND(N(INDEX('İzin Planı'!$F$6:$F$35,16-5))&gt;0,INDEX('İzin Planı'!$F$6:$F$35,16-5)&lt;=('Özet'!$C$6+7*24)+6,INDEX('İzin Planı'!$G$6:$G$35,16-5)&gt;=('Özet'!$C$6+7*24)),AND(N(INDEX('İzin Planı'!$I$6:$I$35,16-5))&gt;0,INDEX('İzin Planı'!$I$6:$I$35,16-5)&lt;=('Özet'!$C$6+7*24)+6,INDEX('İzin Planı'!$J$6:$J$35,16-5)&gt;=('Özet'!$C$6+7*24)),AND(N(INDEX('İzin Planı'!$L$6:$L$35,16-5))&gt;0,INDEX('İzin Planı'!$L$6:$L$35,16-5)&lt;=('Özet'!$C$6+7*24)+6,INDEX('İzin Planı'!$M$6:$M$35,16-5)&gt;=('Özet'!$C$6+7*24))),"İ",""))</f>
      </c>
      <c r="AB16" s="13">
        <f>IF(INDEX('İzin Planı'!$C$6:$C$35,16-5)="","",IF(OR(AND(N(INDEX('İzin Planı'!$F$6:$F$35,16-5))&gt;0,INDEX('İzin Planı'!$F$6:$F$35,16-5)&lt;=('Özet'!$C$6+7*25)+6,INDEX('İzin Planı'!$G$6:$G$35,16-5)&gt;=('Özet'!$C$6+7*25)),AND(N(INDEX('İzin Planı'!$I$6:$I$35,16-5))&gt;0,INDEX('İzin Planı'!$I$6:$I$35,16-5)&lt;=('Özet'!$C$6+7*25)+6,INDEX('İzin Planı'!$J$6:$J$35,16-5)&gt;=('Özet'!$C$6+7*25)),AND(N(INDEX('İzin Planı'!$L$6:$L$35,16-5))&gt;0,INDEX('İzin Planı'!$L$6:$L$35,16-5)&lt;=('Özet'!$C$6+7*25)+6,INDEX('İzin Planı'!$M$6:$M$35,16-5)&gt;=('Özet'!$C$6+7*25))),"İ",""))</f>
      </c>
      <c r="AC16" s="13">
        <f>IF(INDEX('İzin Planı'!$C$6:$C$35,16-5)="","",IF(OR(AND(N(INDEX('İzin Planı'!$F$6:$F$35,16-5))&gt;0,INDEX('İzin Planı'!$F$6:$F$35,16-5)&lt;=('Özet'!$C$6+7*26)+6,INDEX('İzin Planı'!$G$6:$G$35,16-5)&gt;=('Özet'!$C$6+7*26)),AND(N(INDEX('İzin Planı'!$I$6:$I$35,16-5))&gt;0,INDEX('İzin Planı'!$I$6:$I$35,16-5)&lt;=('Özet'!$C$6+7*26)+6,INDEX('İzin Planı'!$J$6:$J$35,16-5)&gt;=('Özet'!$C$6+7*26)),AND(N(INDEX('İzin Planı'!$L$6:$L$35,16-5))&gt;0,INDEX('İzin Planı'!$L$6:$L$35,16-5)&lt;=('Özet'!$C$6+7*26)+6,INDEX('İzin Planı'!$M$6:$M$35,16-5)&gt;=('Özet'!$C$6+7*26))),"İ",""))</f>
      </c>
      <c r="AD16" s="13">
        <f>IF(INDEX('İzin Planı'!$C$6:$C$35,16-5)="","",IF(OR(AND(N(INDEX('İzin Planı'!$F$6:$F$35,16-5))&gt;0,INDEX('İzin Planı'!$F$6:$F$35,16-5)&lt;=('Özet'!$C$6+7*27)+6,INDEX('İzin Planı'!$G$6:$G$35,16-5)&gt;=('Özet'!$C$6+7*27)),AND(N(INDEX('İzin Planı'!$I$6:$I$35,16-5))&gt;0,INDEX('İzin Planı'!$I$6:$I$35,16-5)&lt;=('Özet'!$C$6+7*27)+6,INDEX('İzin Planı'!$J$6:$J$35,16-5)&gt;=('Özet'!$C$6+7*27)),AND(N(INDEX('İzin Planı'!$L$6:$L$35,16-5))&gt;0,INDEX('İzin Planı'!$L$6:$L$35,16-5)&lt;=('Özet'!$C$6+7*27)+6,INDEX('İzin Planı'!$M$6:$M$35,16-5)&gt;=('Özet'!$C$6+7*27))),"İ",""))</f>
      </c>
      <c r="AE16" s="13">
        <f>IF(INDEX('İzin Planı'!$C$6:$C$35,16-5)="","",IF(OR(AND(N(INDEX('İzin Planı'!$F$6:$F$35,16-5))&gt;0,INDEX('İzin Planı'!$F$6:$F$35,16-5)&lt;=('Özet'!$C$6+7*28)+6,INDEX('İzin Planı'!$G$6:$G$35,16-5)&gt;=('Özet'!$C$6+7*28)),AND(N(INDEX('İzin Planı'!$I$6:$I$35,16-5))&gt;0,INDEX('İzin Planı'!$I$6:$I$35,16-5)&lt;=('Özet'!$C$6+7*28)+6,INDEX('İzin Planı'!$J$6:$J$35,16-5)&gt;=('Özet'!$C$6+7*28)),AND(N(INDEX('İzin Planı'!$L$6:$L$35,16-5))&gt;0,INDEX('İzin Planı'!$L$6:$L$35,16-5)&lt;=('Özet'!$C$6+7*28)+6,INDEX('İzin Planı'!$M$6:$M$35,16-5)&gt;=('Özet'!$C$6+7*28))),"İ",""))</f>
      </c>
      <c r="AF16" s="13">
        <f>IF(INDEX('İzin Planı'!$C$6:$C$35,16-5)="","",IF(OR(AND(N(INDEX('İzin Planı'!$F$6:$F$35,16-5))&gt;0,INDEX('İzin Planı'!$F$6:$F$35,16-5)&lt;=('Özet'!$C$6+7*29)+6,INDEX('İzin Planı'!$G$6:$G$35,16-5)&gt;=('Özet'!$C$6+7*29)),AND(N(INDEX('İzin Planı'!$I$6:$I$35,16-5))&gt;0,INDEX('İzin Planı'!$I$6:$I$35,16-5)&lt;=('Özet'!$C$6+7*29)+6,INDEX('İzin Planı'!$J$6:$J$35,16-5)&gt;=('Özet'!$C$6+7*29)),AND(N(INDEX('İzin Planı'!$L$6:$L$35,16-5))&gt;0,INDEX('İzin Planı'!$L$6:$L$35,16-5)&lt;=('Özet'!$C$6+7*29)+6,INDEX('İzin Planı'!$M$6:$M$35,16-5)&gt;=('Özet'!$C$6+7*29))),"İ",""))</f>
      </c>
      <c r="AG16" s="13">
        <f>IF(INDEX('İzin Planı'!$C$6:$C$35,16-5)="","",IF(OR(AND(N(INDEX('İzin Planı'!$F$6:$F$35,16-5))&gt;0,INDEX('İzin Planı'!$F$6:$F$35,16-5)&lt;=('Özet'!$C$6+7*30)+6,INDEX('İzin Planı'!$G$6:$G$35,16-5)&gt;=('Özet'!$C$6+7*30)),AND(N(INDEX('İzin Planı'!$I$6:$I$35,16-5))&gt;0,INDEX('İzin Planı'!$I$6:$I$35,16-5)&lt;=('Özet'!$C$6+7*30)+6,INDEX('İzin Planı'!$J$6:$J$35,16-5)&gt;=('Özet'!$C$6+7*30)),AND(N(INDEX('İzin Planı'!$L$6:$L$35,16-5))&gt;0,INDEX('İzin Planı'!$L$6:$L$35,16-5)&lt;=('Özet'!$C$6+7*30)+6,INDEX('İzin Planı'!$M$6:$M$35,16-5)&gt;=('Özet'!$C$6+7*30))),"İ",""))</f>
      </c>
      <c r="AH16" s="13">
        <f>IF(INDEX('İzin Planı'!$C$6:$C$35,16-5)="","",IF(OR(AND(N(INDEX('İzin Planı'!$F$6:$F$35,16-5))&gt;0,INDEX('İzin Planı'!$F$6:$F$35,16-5)&lt;=('Özet'!$C$6+7*31)+6,INDEX('İzin Planı'!$G$6:$G$35,16-5)&gt;=('Özet'!$C$6+7*31)),AND(N(INDEX('İzin Planı'!$I$6:$I$35,16-5))&gt;0,INDEX('İzin Planı'!$I$6:$I$35,16-5)&lt;=('Özet'!$C$6+7*31)+6,INDEX('İzin Planı'!$J$6:$J$35,16-5)&gt;=('Özet'!$C$6+7*31)),AND(N(INDEX('İzin Planı'!$L$6:$L$35,16-5))&gt;0,INDEX('İzin Planı'!$L$6:$L$35,16-5)&lt;=('Özet'!$C$6+7*31)+6,INDEX('İzin Planı'!$M$6:$M$35,16-5)&gt;=('Özet'!$C$6+7*31))),"İ",""))</f>
      </c>
      <c r="AI16" s="13">
        <f>IF(INDEX('İzin Planı'!$C$6:$C$35,16-5)="","",IF(OR(AND(N(INDEX('İzin Planı'!$F$6:$F$35,16-5))&gt;0,INDEX('İzin Planı'!$F$6:$F$35,16-5)&lt;=('Özet'!$C$6+7*32)+6,INDEX('İzin Planı'!$G$6:$G$35,16-5)&gt;=('Özet'!$C$6+7*32)),AND(N(INDEX('İzin Planı'!$I$6:$I$35,16-5))&gt;0,INDEX('İzin Planı'!$I$6:$I$35,16-5)&lt;=('Özet'!$C$6+7*32)+6,INDEX('İzin Planı'!$J$6:$J$35,16-5)&gt;=('Özet'!$C$6+7*32)),AND(N(INDEX('İzin Planı'!$L$6:$L$35,16-5))&gt;0,INDEX('İzin Planı'!$L$6:$L$35,16-5)&lt;=('Özet'!$C$6+7*32)+6,INDEX('İzin Planı'!$M$6:$M$35,16-5)&gt;=('Özet'!$C$6+7*32))),"İ",""))</f>
      </c>
      <c r="AJ16" s="13">
        <f>IF(INDEX('İzin Planı'!$C$6:$C$35,16-5)="","",IF(OR(AND(N(INDEX('İzin Planı'!$F$6:$F$35,16-5))&gt;0,INDEX('İzin Planı'!$F$6:$F$35,16-5)&lt;=('Özet'!$C$6+7*33)+6,INDEX('İzin Planı'!$G$6:$G$35,16-5)&gt;=('Özet'!$C$6+7*33)),AND(N(INDEX('İzin Planı'!$I$6:$I$35,16-5))&gt;0,INDEX('İzin Planı'!$I$6:$I$35,16-5)&lt;=('Özet'!$C$6+7*33)+6,INDEX('İzin Planı'!$J$6:$J$35,16-5)&gt;=('Özet'!$C$6+7*33)),AND(N(INDEX('İzin Planı'!$L$6:$L$35,16-5))&gt;0,INDEX('İzin Planı'!$L$6:$L$35,16-5)&lt;=('Özet'!$C$6+7*33)+6,INDEX('İzin Planı'!$M$6:$M$35,16-5)&gt;=('Özet'!$C$6+7*33))),"İ",""))</f>
      </c>
      <c r="AK16" s="13">
        <f>IF(INDEX('İzin Planı'!$C$6:$C$35,16-5)="","",IF(OR(AND(N(INDEX('İzin Planı'!$F$6:$F$35,16-5))&gt;0,INDEX('İzin Planı'!$F$6:$F$35,16-5)&lt;=('Özet'!$C$6+7*34)+6,INDEX('İzin Planı'!$G$6:$G$35,16-5)&gt;=('Özet'!$C$6+7*34)),AND(N(INDEX('İzin Planı'!$I$6:$I$35,16-5))&gt;0,INDEX('İzin Planı'!$I$6:$I$35,16-5)&lt;=('Özet'!$C$6+7*34)+6,INDEX('İzin Planı'!$J$6:$J$35,16-5)&gt;=('Özet'!$C$6+7*34)),AND(N(INDEX('İzin Planı'!$L$6:$L$35,16-5))&gt;0,INDEX('İzin Planı'!$L$6:$L$35,16-5)&lt;=('Özet'!$C$6+7*34)+6,INDEX('İzin Planı'!$M$6:$M$35,16-5)&gt;=('Özet'!$C$6+7*34))),"İ",""))</f>
      </c>
      <c r="AL16" s="13">
        <f>IF(INDEX('İzin Planı'!$C$6:$C$35,16-5)="","",IF(OR(AND(N(INDEX('İzin Planı'!$F$6:$F$35,16-5))&gt;0,INDEX('İzin Planı'!$F$6:$F$35,16-5)&lt;=('Özet'!$C$6+7*35)+6,INDEX('İzin Planı'!$G$6:$G$35,16-5)&gt;=('Özet'!$C$6+7*35)),AND(N(INDEX('İzin Planı'!$I$6:$I$35,16-5))&gt;0,INDEX('İzin Planı'!$I$6:$I$35,16-5)&lt;=('Özet'!$C$6+7*35)+6,INDEX('İzin Planı'!$J$6:$J$35,16-5)&gt;=('Özet'!$C$6+7*35)),AND(N(INDEX('İzin Planı'!$L$6:$L$35,16-5))&gt;0,INDEX('İzin Planı'!$L$6:$L$35,16-5)&lt;=('Özet'!$C$6+7*35)+6,INDEX('İzin Planı'!$M$6:$M$35,16-5)&gt;=('Özet'!$C$6+7*35))),"İ",""))</f>
      </c>
      <c r="AM16" s="13">
        <f>IF(INDEX('İzin Planı'!$C$6:$C$35,16-5)="","",IF(OR(AND(N(INDEX('İzin Planı'!$F$6:$F$35,16-5))&gt;0,INDEX('İzin Planı'!$F$6:$F$35,16-5)&lt;=('Özet'!$C$6+7*36)+6,INDEX('İzin Planı'!$G$6:$G$35,16-5)&gt;=('Özet'!$C$6+7*36)),AND(N(INDEX('İzin Planı'!$I$6:$I$35,16-5))&gt;0,INDEX('İzin Planı'!$I$6:$I$35,16-5)&lt;=('Özet'!$C$6+7*36)+6,INDEX('İzin Planı'!$J$6:$J$35,16-5)&gt;=('Özet'!$C$6+7*36)),AND(N(INDEX('İzin Planı'!$L$6:$L$35,16-5))&gt;0,INDEX('İzin Planı'!$L$6:$L$35,16-5)&lt;=('Özet'!$C$6+7*36)+6,INDEX('İzin Planı'!$M$6:$M$35,16-5)&gt;=('Özet'!$C$6+7*36))),"İ",""))</f>
      </c>
      <c r="AN16" s="13">
        <f>IF(INDEX('İzin Planı'!$C$6:$C$35,16-5)="","",IF(OR(AND(N(INDEX('İzin Planı'!$F$6:$F$35,16-5))&gt;0,INDEX('İzin Planı'!$F$6:$F$35,16-5)&lt;=('Özet'!$C$6+7*37)+6,INDEX('İzin Planı'!$G$6:$G$35,16-5)&gt;=('Özet'!$C$6+7*37)),AND(N(INDEX('İzin Planı'!$I$6:$I$35,16-5))&gt;0,INDEX('İzin Planı'!$I$6:$I$35,16-5)&lt;=('Özet'!$C$6+7*37)+6,INDEX('İzin Planı'!$J$6:$J$35,16-5)&gt;=('Özet'!$C$6+7*37)),AND(N(INDEX('İzin Planı'!$L$6:$L$35,16-5))&gt;0,INDEX('İzin Planı'!$L$6:$L$35,16-5)&lt;=('Özet'!$C$6+7*37)+6,INDEX('İzin Planı'!$M$6:$M$35,16-5)&gt;=('Özet'!$C$6+7*37))),"İ",""))</f>
      </c>
      <c r="AO16" s="13">
        <f>IF(INDEX('İzin Planı'!$C$6:$C$35,16-5)="","",IF(OR(AND(N(INDEX('İzin Planı'!$F$6:$F$35,16-5))&gt;0,INDEX('İzin Planı'!$F$6:$F$35,16-5)&lt;=('Özet'!$C$6+7*38)+6,INDEX('İzin Planı'!$G$6:$G$35,16-5)&gt;=('Özet'!$C$6+7*38)),AND(N(INDEX('İzin Planı'!$I$6:$I$35,16-5))&gt;0,INDEX('İzin Planı'!$I$6:$I$35,16-5)&lt;=('Özet'!$C$6+7*38)+6,INDEX('İzin Planı'!$J$6:$J$35,16-5)&gt;=('Özet'!$C$6+7*38)),AND(N(INDEX('İzin Planı'!$L$6:$L$35,16-5))&gt;0,INDEX('İzin Planı'!$L$6:$L$35,16-5)&lt;=('Özet'!$C$6+7*38)+6,INDEX('İzin Planı'!$M$6:$M$35,16-5)&gt;=('Özet'!$C$6+7*38))),"İ",""))</f>
      </c>
      <c r="AP16" s="13">
        <f>IF(INDEX('İzin Planı'!$C$6:$C$35,16-5)="","",IF(OR(AND(N(INDEX('İzin Planı'!$F$6:$F$35,16-5))&gt;0,INDEX('İzin Planı'!$F$6:$F$35,16-5)&lt;=('Özet'!$C$6+7*39)+6,INDEX('İzin Planı'!$G$6:$G$35,16-5)&gt;=('Özet'!$C$6+7*39)),AND(N(INDEX('İzin Planı'!$I$6:$I$35,16-5))&gt;0,INDEX('İzin Planı'!$I$6:$I$35,16-5)&lt;=('Özet'!$C$6+7*39)+6,INDEX('İzin Planı'!$J$6:$J$35,16-5)&gt;=('Özet'!$C$6+7*39)),AND(N(INDEX('İzin Planı'!$L$6:$L$35,16-5))&gt;0,INDEX('İzin Planı'!$L$6:$L$35,16-5)&lt;=('Özet'!$C$6+7*39)+6,INDEX('İzin Planı'!$M$6:$M$35,16-5)&gt;=('Özet'!$C$6+7*39))),"İ",""))</f>
      </c>
      <c r="AQ16" s="13">
        <f>IF(INDEX('İzin Planı'!$C$6:$C$35,16-5)="","",IF(OR(AND(N(INDEX('İzin Planı'!$F$6:$F$35,16-5))&gt;0,INDEX('İzin Planı'!$F$6:$F$35,16-5)&lt;=('Özet'!$C$6+7*40)+6,INDEX('İzin Planı'!$G$6:$G$35,16-5)&gt;=('Özet'!$C$6+7*40)),AND(N(INDEX('İzin Planı'!$I$6:$I$35,16-5))&gt;0,INDEX('İzin Planı'!$I$6:$I$35,16-5)&lt;=('Özet'!$C$6+7*40)+6,INDEX('İzin Planı'!$J$6:$J$35,16-5)&gt;=('Özet'!$C$6+7*40)),AND(N(INDEX('İzin Planı'!$L$6:$L$35,16-5))&gt;0,INDEX('İzin Planı'!$L$6:$L$35,16-5)&lt;=('Özet'!$C$6+7*40)+6,INDEX('İzin Planı'!$M$6:$M$35,16-5)&gt;=('Özet'!$C$6+7*40))),"İ",""))</f>
      </c>
      <c r="AR16" s="13">
        <f>IF(INDEX('İzin Planı'!$C$6:$C$35,16-5)="","",IF(OR(AND(N(INDEX('İzin Planı'!$F$6:$F$35,16-5))&gt;0,INDEX('İzin Planı'!$F$6:$F$35,16-5)&lt;=('Özet'!$C$6+7*41)+6,INDEX('İzin Planı'!$G$6:$G$35,16-5)&gt;=('Özet'!$C$6+7*41)),AND(N(INDEX('İzin Planı'!$I$6:$I$35,16-5))&gt;0,INDEX('İzin Planı'!$I$6:$I$35,16-5)&lt;=('Özet'!$C$6+7*41)+6,INDEX('İzin Planı'!$J$6:$J$35,16-5)&gt;=('Özet'!$C$6+7*41)),AND(N(INDEX('İzin Planı'!$L$6:$L$35,16-5))&gt;0,INDEX('İzin Planı'!$L$6:$L$35,16-5)&lt;=('Özet'!$C$6+7*41)+6,INDEX('İzin Planı'!$M$6:$M$35,16-5)&gt;=('Özet'!$C$6+7*41))),"İ",""))</f>
      </c>
      <c r="AS16" s="13">
        <f>IF(INDEX('İzin Planı'!$C$6:$C$35,16-5)="","",IF(OR(AND(N(INDEX('İzin Planı'!$F$6:$F$35,16-5))&gt;0,INDEX('İzin Planı'!$F$6:$F$35,16-5)&lt;=('Özet'!$C$6+7*42)+6,INDEX('İzin Planı'!$G$6:$G$35,16-5)&gt;=('Özet'!$C$6+7*42)),AND(N(INDEX('İzin Planı'!$I$6:$I$35,16-5))&gt;0,INDEX('İzin Planı'!$I$6:$I$35,16-5)&lt;=('Özet'!$C$6+7*42)+6,INDEX('İzin Planı'!$J$6:$J$35,16-5)&gt;=('Özet'!$C$6+7*42)),AND(N(INDEX('İzin Planı'!$L$6:$L$35,16-5))&gt;0,INDEX('İzin Planı'!$L$6:$L$35,16-5)&lt;=('Özet'!$C$6+7*42)+6,INDEX('İzin Planı'!$M$6:$M$35,16-5)&gt;=('Özet'!$C$6+7*42))),"İ",""))</f>
      </c>
      <c r="AT16" s="13">
        <f>IF(INDEX('İzin Planı'!$C$6:$C$35,16-5)="","",IF(OR(AND(N(INDEX('İzin Planı'!$F$6:$F$35,16-5))&gt;0,INDEX('İzin Planı'!$F$6:$F$35,16-5)&lt;=('Özet'!$C$6+7*43)+6,INDEX('İzin Planı'!$G$6:$G$35,16-5)&gt;=('Özet'!$C$6+7*43)),AND(N(INDEX('İzin Planı'!$I$6:$I$35,16-5))&gt;0,INDEX('İzin Planı'!$I$6:$I$35,16-5)&lt;=('Özet'!$C$6+7*43)+6,INDEX('İzin Planı'!$J$6:$J$35,16-5)&gt;=('Özet'!$C$6+7*43)),AND(N(INDEX('İzin Planı'!$L$6:$L$35,16-5))&gt;0,INDEX('İzin Planı'!$L$6:$L$35,16-5)&lt;=('Özet'!$C$6+7*43)+6,INDEX('İzin Planı'!$M$6:$M$35,16-5)&gt;=('Özet'!$C$6+7*43))),"İ",""))</f>
      </c>
      <c r="AU16" s="13">
        <f>IF(INDEX('İzin Planı'!$C$6:$C$35,16-5)="","",IF(OR(AND(N(INDEX('İzin Planı'!$F$6:$F$35,16-5))&gt;0,INDEX('İzin Planı'!$F$6:$F$35,16-5)&lt;=('Özet'!$C$6+7*44)+6,INDEX('İzin Planı'!$G$6:$G$35,16-5)&gt;=('Özet'!$C$6+7*44)),AND(N(INDEX('İzin Planı'!$I$6:$I$35,16-5))&gt;0,INDEX('İzin Planı'!$I$6:$I$35,16-5)&lt;=('Özet'!$C$6+7*44)+6,INDEX('İzin Planı'!$J$6:$J$35,16-5)&gt;=('Özet'!$C$6+7*44)),AND(N(INDEX('İzin Planı'!$L$6:$L$35,16-5))&gt;0,INDEX('İzin Planı'!$L$6:$L$35,16-5)&lt;=('Özet'!$C$6+7*44)+6,INDEX('İzin Planı'!$M$6:$M$35,16-5)&gt;=('Özet'!$C$6+7*44))),"İ",""))</f>
      </c>
      <c r="AV16" s="13">
        <f>IF(INDEX('İzin Planı'!$C$6:$C$35,16-5)="","",IF(OR(AND(N(INDEX('İzin Planı'!$F$6:$F$35,16-5))&gt;0,INDEX('İzin Planı'!$F$6:$F$35,16-5)&lt;=('Özet'!$C$6+7*45)+6,INDEX('İzin Planı'!$G$6:$G$35,16-5)&gt;=('Özet'!$C$6+7*45)),AND(N(INDEX('İzin Planı'!$I$6:$I$35,16-5))&gt;0,INDEX('İzin Planı'!$I$6:$I$35,16-5)&lt;=('Özet'!$C$6+7*45)+6,INDEX('İzin Planı'!$J$6:$J$35,16-5)&gt;=('Özet'!$C$6+7*45)),AND(N(INDEX('İzin Planı'!$L$6:$L$35,16-5))&gt;0,INDEX('İzin Planı'!$L$6:$L$35,16-5)&lt;=('Özet'!$C$6+7*45)+6,INDEX('İzin Planı'!$M$6:$M$35,16-5)&gt;=('Özet'!$C$6+7*45))),"İ",""))</f>
      </c>
      <c r="AW16" s="13">
        <f>IF(INDEX('İzin Planı'!$C$6:$C$35,16-5)="","",IF(OR(AND(N(INDEX('İzin Planı'!$F$6:$F$35,16-5))&gt;0,INDEX('İzin Planı'!$F$6:$F$35,16-5)&lt;=('Özet'!$C$6+7*46)+6,INDEX('İzin Planı'!$G$6:$G$35,16-5)&gt;=('Özet'!$C$6+7*46)),AND(N(INDEX('İzin Planı'!$I$6:$I$35,16-5))&gt;0,INDEX('İzin Planı'!$I$6:$I$35,16-5)&lt;=('Özet'!$C$6+7*46)+6,INDEX('İzin Planı'!$J$6:$J$35,16-5)&gt;=('Özet'!$C$6+7*46)),AND(N(INDEX('İzin Planı'!$L$6:$L$35,16-5))&gt;0,INDEX('İzin Planı'!$L$6:$L$35,16-5)&lt;=('Özet'!$C$6+7*46)+6,INDEX('İzin Planı'!$M$6:$M$35,16-5)&gt;=('Özet'!$C$6+7*46))),"İ",""))</f>
      </c>
      <c r="AX16" s="13">
        <f>IF(INDEX('İzin Planı'!$C$6:$C$35,16-5)="","",IF(OR(AND(N(INDEX('İzin Planı'!$F$6:$F$35,16-5))&gt;0,INDEX('İzin Planı'!$F$6:$F$35,16-5)&lt;=('Özet'!$C$6+7*47)+6,INDEX('İzin Planı'!$G$6:$G$35,16-5)&gt;=('Özet'!$C$6+7*47)),AND(N(INDEX('İzin Planı'!$I$6:$I$35,16-5))&gt;0,INDEX('İzin Planı'!$I$6:$I$35,16-5)&lt;=('Özet'!$C$6+7*47)+6,INDEX('İzin Planı'!$J$6:$J$35,16-5)&gt;=('Özet'!$C$6+7*47)),AND(N(INDEX('İzin Planı'!$L$6:$L$35,16-5))&gt;0,INDEX('İzin Planı'!$L$6:$L$35,16-5)&lt;=('Özet'!$C$6+7*47)+6,INDEX('İzin Planı'!$M$6:$M$35,16-5)&gt;=('Özet'!$C$6+7*47))),"İ",""))</f>
      </c>
      <c r="AY16" s="13">
        <f>IF(INDEX('İzin Planı'!$C$6:$C$35,16-5)="","",IF(OR(AND(N(INDEX('İzin Planı'!$F$6:$F$35,16-5))&gt;0,INDEX('İzin Planı'!$F$6:$F$35,16-5)&lt;=('Özet'!$C$6+7*48)+6,INDEX('İzin Planı'!$G$6:$G$35,16-5)&gt;=('Özet'!$C$6+7*48)),AND(N(INDEX('İzin Planı'!$I$6:$I$35,16-5))&gt;0,INDEX('İzin Planı'!$I$6:$I$35,16-5)&lt;=('Özet'!$C$6+7*48)+6,INDEX('İzin Planı'!$J$6:$J$35,16-5)&gt;=('Özet'!$C$6+7*48)),AND(N(INDEX('İzin Planı'!$L$6:$L$35,16-5))&gt;0,INDEX('İzin Planı'!$L$6:$L$35,16-5)&lt;=('Özet'!$C$6+7*48)+6,INDEX('İzin Planı'!$M$6:$M$35,16-5)&gt;=('Özet'!$C$6+7*48))),"İ",""))</f>
      </c>
      <c r="AZ16" s="13">
        <f>IF(INDEX('İzin Planı'!$C$6:$C$35,16-5)="","",IF(OR(AND(N(INDEX('İzin Planı'!$F$6:$F$35,16-5))&gt;0,INDEX('İzin Planı'!$F$6:$F$35,16-5)&lt;=('Özet'!$C$6+7*49)+6,INDEX('İzin Planı'!$G$6:$G$35,16-5)&gt;=('Özet'!$C$6+7*49)),AND(N(INDEX('İzin Planı'!$I$6:$I$35,16-5))&gt;0,INDEX('İzin Planı'!$I$6:$I$35,16-5)&lt;=('Özet'!$C$6+7*49)+6,INDEX('İzin Planı'!$J$6:$J$35,16-5)&gt;=('Özet'!$C$6+7*49)),AND(N(INDEX('İzin Planı'!$L$6:$L$35,16-5))&gt;0,INDEX('İzin Planı'!$L$6:$L$35,16-5)&lt;=('Özet'!$C$6+7*49)+6,INDEX('İzin Planı'!$M$6:$M$35,16-5)&gt;=('Özet'!$C$6+7*49))),"İ",""))</f>
      </c>
      <c r="BA16" s="13">
        <f>IF(INDEX('İzin Planı'!$C$6:$C$35,16-5)="","",IF(OR(AND(N(INDEX('İzin Planı'!$F$6:$F$35,16-5))&gt;0,INDEX('İzin Planı'!$F$6:$F$35,16-5)&lt;=('Özet'!$C$6+7*50)+6,INDEX('İzin Planı'!$G$6:$G$35,16-5)&gt;=('Özet'!$C$6+7*50)),AND(N(INDEX('İzin Planı'!$I$6:$I$35,16-5))&gt;0,INDEX('İzin Planı'!$I$6:$I$35,16-5)&lt;=('Özet'!$C$6+7*50)+6,INDEX('İzin Planı'!$J$6:$J$35,16-5)&gt;=('Özet'!$C$6+7*50)),AND(N(INDEX('İzin Planı'!$L$6:$L$35,16-5))&gt;0,INDEX('İzin Planı'!$L$6:$L$35,16-5)&lt;=('Özet'!$C$6+7*50)+6,INDEX('İzin Planı'!$M$6:$M$35,16-5)&gt;=('Özet'!$C$6+7*50))),"İ",""))</f>
      </c>
      <c r="BB16" s="13">
        <f>IF(INDEX('İzin Planı'!$C$6:$C$35,16-5)="","",IF(OR(AND(N(INDEX('İzin Planı'!$F$6:$F$35,16-5))&gt;0,INDEX('İzin Planı'!$F$6:$F$35,16-5)&lt;=('Özet'!$C$6+7*51)+6,INDEX('İzin Planı'!$G$6:$G$35,16-5)&gt;=('Özet'!$C$6+7*51)),AND(N(INDEX('İzin Planı'!$I$6:$I$35,16-5))&gt;0,INDEX('İzin Planı'!$I$6:$I$35,16-5)&lt;=('Özet'!$C$6+7*51)+6,INDEX('İzin Planı'!$J$6:$J$35,16-5)&gt;=('Özet'!$C$6+7*51)),AND(N(INDEX('İzin Planı'!$L$6:$L$35,16-5))&gt;0,INDEX('İzin Planı'!$L$6:$L$35,16-5)&lt;=('Özet'!$C$6+7*51)+6,INDEX('İzin Planı'!$M$6:$M$35,16-5)&gt;=('Özet'!$C$6+7*51))),"İ",""))</f>
      </c>
      <c r="BC16" s="13">
        <f>IF(INDEX('İzin Planı'!$C$6:$C$35,16-5)="","",IF(OR(AND(N(INDEX('İzin Planı'!$F$6:$F$35,16-5))&gt;0,INDEX('İzin Planı'!$F$6:$F$35,16-5)&lt;=('Özet'!$C$6+7*52)+6,INDEX('İzin Planı'!$G$6:$G$35,16-5)&gt;=('Özet'!$C$6+7*52)),AND(N(INDEX('İzin Planı'!$I$6:$I$35,16-5))&gt;0,INDEX('İzin Planı'!$I$6:$I$35,16-5)&lt;=('Özet'!$C$6+7*52)+6,INDEX('İzin Planı'!$J$6:$J$35,16-5)&gt;=('Özet'!$C$6+7*52)),AND(N(INDEX('İzin Planı'!$L$6:$L$35,16-5))&gt;0,INDEX('İzin Planı'!$L$6:$L$35,16-5)&lt;=('Özet'!$C$6+7*52)+6,INDEX('İzin Planı'!$M$6:$M$35,16-5)&gt;=('Özet'!$C$6+7*52))),"İ",""))</f>
      </c>
    </row>
    <row r="17" ht="18" customHeight="1" spans="1:55" x14ac:dyDescent="0.25">
      <c r="A17" s="6">
        <v>12</v>
      </c>
      <c r="B17" s="13">
        <f>IF(INDEX('İzin Planı'!$C$6:$C$35,17-5)="","",INDEX('İzin Planı'!$C$6:$C$35,17-5))</f>
      </c>
      <c r="C17" s="13">
        <f>IF(INDEX('İzin Planı'!$C$6:$C$35,17-5)="","",IF(OR(AND(N(INDEX('İzin Planı'!$F$6:$F$35,17-5))&gt;0,INDEX('İzin Planı'!$F$6:$F$35,17-5)&lt;=('Özet'!$C$6+7*0)+6,INDEX('İzin Planı'!$G$6:$G$35,17-5)&gt;=('Özet'!$C$6+7*0)),AND(N(INDEX('İzin Planı'!$I$6:$I$35,17-5))&gt;0,INDEX('İzin Planı'!$I$6:$I$35,17-5)&lt;=('Özet'!$C$6+7*0)+6,INDEX('İzin Planı'!$J$6:$J$35,17-5)&gt;=('Özet'!$C$6+7*0)),AND(N(INDEX('İzin Planı'!$L$6:$L$35,17-5))&gt;0,INDEX('İzin Planı'!$L$6:$L$35,17-5)&lt;=('Özet'!$C$6+7*0)+6,INDEX('İzin Planı'!$M$6:$M$35,17-5)&gt;=('Özet'!$C$6+7*0))),"İ",""))</f>
      </c>
      <c r="D17" s="13">
        <f>IF(INDEX('İzin Planı'!$C$6:$C$35,17-5)="","",IF(OR(AND(N(INDEX('İzin Planı'!$F$6:$F$35,17-5))&gt;0,INDEX('İzin Planı'!$F$6:$F$35,17-5)&lt;=('Özet'!$C$6+7*1)+6,INDEX('İzin Planı'!$G$6:$G$35,17-5)&gt;=('Özet'!$C$6+7*1)),AND(N(INDEX('İzin Planı'!$I$6:$I$35,17-5))&gt;0,INDEX('İzin Planı'!$I$6:$I$35,17-5)&lt;=('Özet'!$C$6+7*1)+6,INDEX('İzin Planı'!$J$6:$J$35,17-5)&gt;=('Özet'!$C$6+7*1)),AND(N(INDEX('İzin Planı'!$L$6:$L$35,17-5))&gt;0,INDEX('İzin Planı'!$L$6:$L$35,17-5)&lt;=('Özet'!$C$6+7*1)+6,INDEX('İzin Planı'!$M$6:$M$35,17-5)&gt;=('Özet'!$C$6+7*1))),"İ",""))</f>
      </c>
      <c r="E17" s="13">
        <f>IF(INDEX('İzin Planı'!$C$6:$C$35,17-5)="","",IF(OR(AND(N(INDEX('İzin Planı'!$F$6:$F$35,17-5))&gt;0,INDEX('İzin Planı'!$F$6:$F$35,17-5)&lt;=('Özet'!$C$6+7*2)+6,INDEX('İzin Planı'!$G$6:$G$35,17-5)&gt;=('Özet'!$C$6+7*2)),AND(N(INDEX('İzin Planı'!$I$6:$I$35,17-5))&gt;0,INDEX('İzin Planı'!$I$6:$I$35,17-5)&lt;=('Özet'!$C$6+7*2)+6,INDEX('İzin Planı'!$J$6:$J$35,17-5)&gt;=('Özet'!$C$6+7*2)),AND(N(INDEX('İzin Planı'!$L$6:$L$35,17-5))&gt;0,INDEX('İzin Planı'!$L$6:$L$35,17-5)&lt;=('Özet'!$C$6+7*2)+6,INDEX('İzin Planı'!$M$6:$M$35,17-5)&gt;=('Özet'!$C$6+7*2))),"İ",""))</f>
      </c>
      <c r="F17" s="13">
        <f>IF(INDEX('İzin Planı'!$C$6:$C$35,17-5)="","",IF(OR(AND(N(INDEX('İzin Planı'!$F$6:$F$35,17-5))&gt;0,INDEX('İzin Planı'!$F$6:$F$35,17-5)&lt;=('Özet'!$C$6+7*3)+6,INDEX('İzin Planı'!$G$6:$G$35,17-5)&gt;=('Özet'!$C$6+7*3)),AND(N(INDEX('İzin Planı'!$I$6:$I$35,17-5))&gt;0,INDEX('İzin Planı'!$I$6:$I$35,17-5)&lt;=('Özet'!$C$6+7*3)+6,INDEX('İzin Planı'!$J$6:$J$35,17-5)&gt;=('Özet'!$C$6+7*3)),AND(N(INDEX('İzin Planı'!$L$6:$L$35,17-5))&gt;0,INDEX('İzin Planı'!$L$6:$L$35,17-5)&lt;=('Özet'!$C$6+7*3)+6,INDEX('İzin Planı'!$M$6:$M$35,17-5)&gt;=('Özet'!$C$6+7*3))),"İ",""))</f>
      </c>
      <c r="G17" s="13">
        <f>IF(INDEX('İzin Planı'!$C$6:$C$35,17-5)="","",IF(OR(AND(N(INDEX('İzin Planı'!$F$6:$F$35,17-5))&gt;0,INDEX('İzin Planı'!$F$6:$F$35,17-5)&lt;=('Özet'!$C$6+7*4)+6,INDEX('İzin Planı'!$G$6:$G$35,17-5)&gt;=('Özet'!$C$6+7*4)),AND(N(INDEX('İzin Planı'!$I$6:$I$35,17-5))&gt;0,INDEX('İzin Planı'!$I$6:$I$35,17-5)&lt;=('Özet'!$C$6+7*4)+6,INDEX('İzin Planı'!$J$6:$J$35,17-5)&gt;=('Özet'!$C$6+7*4)),AND(N(INDEX('İzin Planı'!$L$6:$L$35,17-5))&gt;0,INDEX('İzin Planı'!$L$6:$L$35,17-5)&lt;=('Özet'!$C$6+7*4)+6,INDEX('İzin Planı'!$M$6:$M$35,17-5)&gt;=('Özet'!$C$6+7*4))),"İ",""))</f>
      </c>
      <c r="H17" s="13">
        <f>IF(INDEX('İzin Planı'!$C$6:$C$35,17-5)="","",IF(OR(AND(N(INDEX('İzin Planı'!$F$6:$F$35,17-5))&gt;0,INDEX('İzin Planı'!$F$6:$F$35,17-5)&lt;=('Özet'!$C$6+7*5)+6,INDEX('İzin Planı'!$G$6:$G$35,17-5)&gt;=('Özet'!$C$6+7*5)),AND(N(INDEX('İzin Planı'!$I$6:$I$35,17-5))&gt;0,INDEX('İzin Planı'!$I$6:$I$35,17-5)&lt;=('Özet'!$C$6+7*5)+6,INDEX('İzin Planı'!$J$6:$J$35,17-5)&gt;=('Özet'!$C$6+7*5)),AND(N(INDEX('İzin Planı'!$L$6:$L$35,17-5))&gt;0,INDEX('İzin Planı'!$L$6:$L$35,17-5)&lt;=('Özet'!$C$6+7*5)+6,INDEX('İzin Planı'!$M$6:$M$35,17-5)&gt;=('Özet'!$C$6+7*5))),"İ",""))</f>
      </c>
      <c r="I17" s="13">
        <f>IF(INDEX('İzin Planı'!$C$6:$C$35,17-5)="","",IF(OR(AND(N(INDEX('İzin Planı'!$F$6:$F$35,17-5))&gt;0,INDEX('İzin Planı'!$F$6:$F$35,17-5)&lt;=('Özet'!$C$6+7*6)+6,INDEX('İzin Planı'!$G$6:$G$35,17-5)&gt;=('Özet'!$C$6+7*6)),AND(N(INDEX('İzin Planı'!$I$6:$I$35,17-5))&gt;0,INDEX('İzin Planı'!$I$6:$I$35,17-5)&lt;=('Özet'!$C$6+7*6)+6,INDEX('İzin Planı'!$J$6:$J$35,17-5)&gt;=('Özet'!$C$6+7*6)),AND(N(INDEX('İzin Planı'!$L$6:$L$35,17-5))&gt;0,INDEX('İzin Planı'!$L$6:$L$35,17-5)&lt;=('Özet'!$C$6+7*6)+6,INDEX('İzin Planı'!$M$6:$M$35,17-5)&gt;=('Özet'!$C$6+7*6))),"İ",""))</f>
      </c>
      <c r="J17" s="13">
        <f>IF(INDEX('İzin Planı'!$C$6:$C$35,17-5)="","",IF(OR(AND(N(INDEX('İzin Planı'!$F$6:$F$35,17-5))&gt;0,INDEX('İzin Planı'!$F$6:$F$35,17-5)&lt;=('Özet'!$C$6+7*7)+6,INDEX('İzin Planı'!$G$6:$G$35,17-5)&gt;=('Özet'!$C$6+7*7)),AND(N(INDEX('İzin Planı'!$I$6:$I$35,17-5))&gt;0,INDEX('İzin Planı'!$I$6:$I$35,17-5)&lt;=('Özet'!$C$6+7*7)+6,INDEX('İzin Planı'!$J$6:$J$35,17-5)&gt;=('Özet'!$C$6+7*7)),AND(N(INDEX('İzin Planı'!$L$6:$L$35,17-5))&gt;0,INDEX('İzin Planı'!$L$6:$L$35,17-5)&lt;=('Özet'!$C$6+7*7)+6,INDEX('İzin Planı'!$M$6:$M$35,17-5)&gt;=('Özet'!$C$6+7*7))),"İ",""))</f>
      </c>
      <c r="K17" s="13">
        <f>IF(INDEX('İzin Planı'!$C$6:$C$35,17-5)="","",IF(OR(AND(N(INDEX('İzin Planı'!$F$6:$F$35,17-5))&gt;0,INDEX('İzin Planı'!$F$6:$F$35,17-5)&lt;=('Özet'!$C$6+7*8)+6,INDEX('İzin Planı'!$G$6:$G$35,17-5)&gt;=('Özet'!$C$6+7*8)),AND(N(INDEX('İzin Planı'!$I$6:$I$35,17-5))&gt;0,INDEX('İzin Planı'!$I$6:$I$35,17-5)&lt;=('Özet'!$C$6+7*8)+6,INDEX('İzin Planı'!$J$6:$J$35,17-5)&gt;=('Özet'!$C$6+7*8)),AND(N(INDEX('İzin Planı'!$L$6:$L$35,17-5))&gt;0,INDEX('İzin Planı'!$L$6:$L$35,17-5)&lt;=('Özet'!$C$6+7*8)+6,INDEX('İzin Planı'!$M$6:$M$35,17-5)&gt;=('Özet'!$C$6+7*8))),"İ",""))</f>
      </c>
      <c r="L17" s="13">
        <f>IF(INDEX('İzin Planı'!$C$6:$C$35,17-5)="","",IF(OR(AND(N(INDEX('İzin Planı'!$F$6:$F$35,17-5))&gt;0,INDEX('İzin Planı'!$F$6:$F$35,17-5)&lt;=('Özet'!$C$6+7*9)+6,INDEX('İzin Planı'!$G$6:$G$35,17-5)&gt;=('Özet'!$C$6+7*9)),AND(N(INDEX('İzin Planı'!$I$6:$I$35,17-5))&gt;0,INDEX('İzin Planı'!$I$6:$I$35,17-5)&lt;=('Özet'!$C$6+7*9)+6,INDEX('İzin Planı'!$J$6:$J$35,17-5)&gt;=('Özet'!$C$6+7*9)),AND(N(INDEX('İzin Planı'!$L$6:$L$35,17-5))&gt;0,INDEX('İzin Planı'!$L$6:$L$35,17-5)&lt;=('Özet'!$C$6+7*9)+6,INDEX('İzin Planı'!$M$6:$M$35,17-5)&gt;=('Özet'!$C$6+7*9))),"İ",""))</f>
      </c>
      <c r="M17" s="13">
        <f>IF(INDEX('İzin Planı'!$C$6:$C$35,17-5)="","",IF(OR(AND(N(INDEX('İzin Planı'!$F$6:$F$35,17-5))&gt;0,INDEX('İzin Planı'!$F$6:$F$35,17-5)&lt;=('Özet'!$C$6+7*10)+6,INDEX('İzin Planı'!$G$6:$G$35,17-5)&gt;=('Özet'!$C$6+7*10)),AND(N(INDEX('İzin Planı'!$I$6:$I$35,17-5))&gt;0,INDEX('İzin Planı'!$I$6:$I$35,17-5)&lt;=('Özet'!$C$6+7*10)+6,INDEX('İzin Planı'!$J$6:$J$35,17-5)&gt;=('Özet'!$C$6+7*10)),AND(N(INDEX('İzin Planı'!$L$6:$L$35,17-5))&gt;0,INDEX('İzin Planı'!$L$6:$L$35,17-5)&lt;=('Özet'!$C$6+7*10)+6,INDEX('İzin Planı'!$M$6:$M$35,17-5)&gt;=('Özet'!$C$6+7*10))),"İ",""))</f>
      </c>
      <c r="N17" s="13">
        <f>IF(INDEX('İzin Planı'!$C$6:$C$35,17-5)="","",IF(OR(AND(N(INDEX('İzin Planı'!$F$6:$F$35,17-5))&gt;0,INDEX('İzin Planı'!$F$6:$F$35,17-5)&lt;=('Özet'!$C$6+7*11)+6,INDEX('İzin Planı'!$G$6:$G$35,17-5)&gt;=('Özet'!$C$6+7*11)),AND(N(INDEX('İzin Planı'!$I$6:$I$35,17-5))&gt;0,INDEX('İzin Planı'!$I$6:$I$35,17-5)&lt;=('Özet'!$C$6+7*11)+6,INDEX('İzin Planı'!$J$6:$J$35,17-5)&gt;=('Özet'!$C$6+7*11)),AND(N(INDEX('İzin Planı'!$L$6:$L$35,17-5))&gt;0,INDEX('İzin Planı'!$L$6:$L$35,17-5)&lt;=('Özet'!$C$6+7*11)+6,INDEX('İzin Planı'!$M$6:$M$35,17-5)&gt;=('Özet'!$C$6+7*11))),"İ",""))</f>
      </c>
      <c r="O17" s="13">
        <f>IF(INDEX('İzin Planı'!$C$6:$C$35,17-5)="","",IF(OR(AND(N(INDEX('İzin Planı'!$F$6:$F$35,17-5))&gt;0,INDEX('İzin Planı'!$F$6:$F$35,17-5)&lt;=('Özet'!$C$6+7*12)+6,INDEX('İzin Planı'!$G$6:$G$35,17-5)&gt;=('Özet'!$C$6+7*12)),AND(N(INDEX('İzin Planı'!$I$6:$I$35,17-5))&gt;0,INDEX('İzin Planı'!$I$6:$I$35,17-5)&lt;=('Özet'!$C$6+7*12)+6,INDEX('İzin Planı'!$J$6:$J$35,17-5)&gt;=('Özet'!$C$6+7*12)),AND(N(INDEX('İzin Planı'!$L$6:$L$35,17-5))&gt;0,INDEX('İzin Planı'!$L$6:$L$35,17-5)&lt;=('Özet'!$C$6+7*12)+6,INDEX('İzin Planı'!$M$6:$M$35,17-5)&gt;=('Özet'!$C$6+7*12))),"İ",""))</f>
      </c>
      <c r="P17" s="13">
        <f>IF(INDEX('İzin Planı'!$C$6:$C$35,17-5)="","",IF(OR(AND(N(INDEX('İzin Planı'!$F$6:$F$35,17-5))&gt;0,INDEX('İzin Planı'!$F$6:$F$35,17-5)&lt;=('Özet'!$C$6+7*13)+6,INDEX('İzin Planı'!$G$6:$G$35,17-5)&gt;=('Özet'!$C$6+7*13)),AND(N(INDEX('İzin Planı'!$I$6:$I$35,17-5))&gt;0,INDEX('İzin Planı'!$I$6:$I$35,17-5)&lt;=('Özet'!$C$6+7*13)+6,INDEX('İzin Planı'!$J$6:$J$35,17-5)&gt;=('Özet'!$C$6+7*13)),AND(N(INDEX('İzin Planı'!$L$6:$L$35,17-5))&gt;0,INDEX('İzin Planı'!$L$6:$L$35,17-5)&lt;=('Özet'!$C$6+7*13)+6,INDEX('İzin Planı'!$M$6:$M$35,17-5)&gt;=('Özet'!$C$6+7*13))),"İ",""))</f>
      </c>
      <c r="Q17" s="13">
        <f>IF(INDEX('İzin Planı'!$C$6:$C$35,17-5)="","",IF(OR(AND(N(INDEX('İzin Planı'!$F$6:$F$35,17-5))&gt;0,INDEX('İzin Planı'!$F$6:$F$35,17-5)&lt;=('Özet'!$C$6+7*14)+6,INDEX('İzin Planı'!$G$6:$G$35,17-5)&gt;=('Özet'!$C$6+7*14)),AND(N(INDEX('İzin Planı'!$I$6:$I$35,17-5))&gt;0,INDEX('İzin Planı'!$I$6:$I$35,17-5)&lt;=('Özet'!$C$6+7*14)+6,INDEX('İzin Planı'!$J$6:$J$35,17-5)&gt;=('Özet'!$C$6+7*14)),AND(N(INDEX('İzin Planı'!$L$6:$L$35,17-5))&gt;0,INDEX('İzin Planı'!$L$6:$L$35,17-5)&lt;=('Özet'!$C$6+7*14)+6,INDEX('İzin Planı'!$M$6:$M$35,17-5)&gt;=('Özet'!$C$6+7*14))),"İ",""))</f>
      </c>
      <c r="R17" s="13">
        <f>IF(INDEX('İzin Planı'!$C$6:$C$35,17-5)="","",IF(OR(AND(N(INDEX('İzin Planı'!$F$6:$F$35,17-5))&gt;0,INDEX('İzin Planı'!$F$6:$F$35,17-5)&lt;=('Özet'!$C$6+7*15)+6,INDEX('İzin Planı'!$G$6:$G$35,17-5)&gt;=('Özet'!$C$6+7*15)),AND(N(INDEX('İzin Planı'!$I$6:$I$35,17-5))&gt;0,INDEX('İzin Planı'!$I$6:$I$35,17-5)&lt;=('Özet'!$C$6+7*15)+6,INDEX('İzin Planı'!$J$6:$J$35,17-5)&gt;=('Özet'!$C$6+7*15)),AND(N(INDEX('İzin Planı'!$L$6:$L$35,17-5))&gt;0,INDEX('İzin Planı'!$L$6:$L$35,17-5)&lt;=('Özet'!$C$6+7*15)+6,INDEX('İzin Planı'!$M$6:$M$35,17-5)&gt;=('Özet'!$C$6+7*15))),"İ",""))</f>
      </c>
      <c r="S17" s="13">
        <f>IF(INDEX('İzin Planı'!$C$6:$C$35,17-5)="","",IF(OR(AND(N(INDEX('İzin Planı'!$F$6:$F$35,17-5))&gt;0,INDEX('İzin Planı'!$F$6:$F$35,17-5)&lt;=('Özet'!$C$6+7*16)+6,INDEX('İzin Planı'!$G$6:$G$35,17-5)&gt;=('Özet'!$C$6+7*16)),AND(N(INDEX('İzin Planı'!$I$6:$I$35,17-5))&gt;0,INDEX('İzin Planı'!$I$6:$I$35,17-5)&lt;=('Özet'!$C$6+7*16)+6,INDEX('İzin Planı'!$J$6:$J$35,17-5)&gt;=('Özet'!$C$6+7*16)),AND(N(INDEX('İzin Planı'!$L$6:$L$35,17-5))&gt;0,INDEX('İzin Planı'!$L$6:$L$35,17-5)&lt;=('Özet'!$C$6+7*16)+6,INDEX('İzin Planı'!$M$6:$M$35,17-5)&gt;=('Özet'!$C$6+7*16))),"İ",""))</f>
      </c>
      <c r="T17" s="13">
        <f>IF(INDEX('İzin Planı'!$C$6:$C$35,17-5)="","",IF(OR(AND(N(INDEX('İzin Planı'!$F$6:$F$35,17-5))&gt;0,INDEX('İzin Planı'!$F$6:$F$35,17-5)&lt;=('Özet'!$C$6+7*17)+6,INDEX('İzin Planı'!$G$6:$G$35,17-5)&gt;=('Özet'!$C$6+7*17)),AND(N(INDEX('İzin Planı'!$I$6:$I$35,17-5))&gt;0,INDEX('İzin Planı'!$I$6:$I$35,17-5)&lt;=('Özet'!$C$6+7*17)+6,INDEX('İzin Planı'!$J$6:$J$35,17-5)&gt;=('Özet'!$C$6+7*17)),AND(N(INDEX('İzin Planı'!$L$6:$L$35,17-5))&gt;0,INDEX('İzin Planı'!$L$6:$L$35,17-5)&lt;=('Özet'!$C$6+7*17)+6,INDEX('İzin Planı'!$M$6:$M$35,17-5)&gt;=('Özet'!$C$6+7*17))),"İ",""))</f>
      </c>
      <c r="U17" s="13">
        <f>IF(INDEX('İzin Planı'!$C$6:$C$35,17-5)="","",IF(OR(AND(N(INDEX('İzin Planı'!$F$6:$F$35,17-5))&gt;0,INDEX('İzin Planı'!$F$6:$F$35,17-5)&lt;=('Özet'!$C$6+7*18)+6,INDEX('İzin Planı'!$G$6:$G$35,17-5)&gt;=('Özet'!$C$6+7*18)),AND(N(INDEX('İzin Planı'!$I$6:$I$35,17-5))&gt;0,INDEX('İzin Planı'!$I$6:$I$35,17-5)&lt;=('Özet'!$C$6+7*18)+6,INDEX('İzin Planı'!$J$6:$J$35,17-5)&gt;=('Özet'!$C$6+7*18)),AND(N(INDEX('İzin Planı'!$L$6:$L$35,17-5))&gt;0,INDEX('İzin Planı'!$L$6:$L$35,17-5)&lt;=('Özet'!$C$6+7*18)+6,INDEX('İzin Planı'!$M$6:$M$35,17-5)&gt;=('Özet'!$C$6+7*18))),"İ",""))</f>
      </c>
      <c r="V17" s="13">
        <f>IF(INDEX('İzin Planı'!$C$6:$C$35,17-5)="","",IF(OR(AND(N(INDEX('İzin Planı'!$F$6:$F$35,17-5))&gt;0,INDEX('İzin Planı'!$F$6:$F$35,17-5)&lt;=('Özet'!$C$6+7*19)+6,INDEX('İzin Planı'!$G$6:$G$35,17-5)&gt;=('Özet'!$C$6+7*19)),AND(N(INDEX('İzin Planı'!$I$6:$I$35,17-5))&gt;0,INDEX('İzin Planı'!$I$6:$I$35,17-5)&lt;=('Özet'!$C$6+7*19)+6,INDEX('İzin Planı'!$J$6:$J$35,17-5)&gt;=('Özet'!$C$6+7*19)),AND(N(INDEX('İzin Planı'!$L$6:$L$35,17-5))&gt;0,INDEX('İzin Planı'!$L$6:$L$35,17-5)&lt;=('Özet'!$C$6+7*19)+6,INDEX('İzin Planı'!$M$6:$M$35,17-5)&gt;=('Özet'!$C$6+7*19))),"İ",""))</f>
      </c>
      <c r="W17" s="13">
        <f>IF(INDEX('İzin Planı'!$C$6:$C$35,17-5)="","",IF(OR(AND(N(INDEX('İzin Planı'!$F$6:$F$35,17-5))&gt;0,INDEX('İzin Planı'!$F$6:$F$35,17-5)&lt;=('Özet'!$C$6+7*20)+6,INDEX('İzin Planı'!$G$6:$G$35,17-5)&gt;=('Özet'!$C$6+7*20)),AND(N(INDEX('İzin Planı'!$I$6:$I$35,17-5))&gt;0,INDEX('İzin Planı'!$I$6:$I$35,17-5)&lt;=('Özet'!$C$6+7*20)+6,INDEX('İzin Planı'!$J$6:$J$35,17-5)&gt;=('Özet'!$C$6+7*20)),AND(N(INDEX('İzin Planı'!$L$6:$L$35,17-5))&gt;0,INDEX('İzin Planı'!$L$6:$L$35,17-5)&lt;=('Özet'!$C$6+7*20)+6,INDEX('İzin Planı'!$M$6:$M$35,17-5)&gt;=('Özet'!$C$6+7*20))),"İ",""))</f>
      </c>
      <c r="X17" s="13">
        <f>IF(INDEX('İzin Planı'!$C$6:$C$35,17-5)="","",IF(OR(AND(N(INDEX('İzin Planı'!$F$6:$F$35,17-5))&gt;0,INDEX('İzin Planı'!$F$6:$F$35,17-5)&lt;=('Özet'!$C$6+7*21)+6,INDEX('İzin Planı'!$G$6:$G$35,17-5)&gt;=('Özet'!$C$6+7*21)),AND(N(INDEX('İzin Planı'!$I$6:$I$35,17-5))&gt;0,INDEX('İzin Planı'!$I$6:$I$35,17-5)&lt;=('Özet'!$C$6+7*21)+6,INDEX('İzin Planı'!$J$6:$J$35,17-5)&gt;=('Özet'!$C$6+7*21)),AND(N(INDEX('İzin Planı'!$L$6:$L$35,17-5))&gt;0,INDEX('İzin Planı'!$L$6:$L$35,17-5)&lt;=('Özet'!$C$6+7*21)+6,INDEX('İzin Planı'!$M$6:$M$35,17-5)&gt;=('Özet'!$C$6+7*21))),"İ",""))</f>
      </c>
      <c r="Y17" s="13">
        <f>IF(INDEX('İzin Planı'!$C$6:$C$35,17-5)="","",IF(OR(AND(N(INDEX('İzin Planı'!$F$6:$F$35,17-5))&gt;0,INDEX('İzin Planı'!$F$6:$F$35,17-5)&lt;=('Özet'!$C$6+7*22)+6,INDEX('İzin Planı'!$G$6:$G$35,17-5)&gt;=('Özet'!$C$6+7*22)),AND(N(INDEX('İzin Planı'!$I$6:$I$35,17-5))&gt;0,INDEX('İzin Planı'!$I$6:$I$35,17-5)&lt;=('Özet'!$C$6+7*22)+6,INDEX('İzin Planı'!$J$6:$J$35,17-5)&gt;=('Özet'!$C$6+7*22)),AND(N(INDEX('İzin Planı'!$L$6:$L$35,17-5))&gt;0,INDEX('İzin Planı'!$L$6:$L$35,17-5)&lt;=('Özet'!$C$6+7*22)+6,INDEX('İzin Planı'!$M$6:$M$35,17-5)&gt;=('Özet'!$C$6+7*22))),"İ",""))</f>
      </c>
      <c r="Z17" s="13">
        <f>IF(INDEX('İzin Planı'!$C$6:$C$35,17-5)="","",IF(OR(AND(N(INDEX('İzin Planı'!$F$6:$F$35,17-5))&gt;0,INDEX('İzin Planı'!$F$6:$F$35,17-5)&lt;=('Özet'!$C$6+7*23)+6,INDEX('İzin Planı'!$G$6:$G$35,17-5)&gt;=('Özet'!$C$6+7*23)),AND(N(INDEX('İzin Planı'!$I$6:$I$35,17-5))&gt;0,INDEX('İzin Planı'!$I$6:$I$35,17-5)&lt;=('Özet'!$C$6+7*23)+6,INDEX('İzin Planı'!$J$6:$J$35,17-5)&gt;=('Özet'!$C$6+7*23)),AND(N(INDEX('İzin Planı'!$L$6:$L$35,17-5))&gt;0,INDEX('İzin Planı'!$L$6:$L$35,17-5)&lt;=('Özet'!$C$6+7*23)+6,INDEX('İzin Planı'!$M$6:$M$35,17-5)&gt;=('Özet'!$C$6+7*23))),"İ",""))</f>
      </c>
      <c r="AA17" s="13">
        <f>IF(INDEX('İzin Planı'!$C$6:$C$35,17-5)="","",IF(OR(AND(N(INDEX('İzin Planı'!$F$6:$F$35,17-5))&gt;0,INDEX('İzin Planı'!$F$6:$F$35,17-5)&lt;=('Özet'!$C$6+7*24)+6,INDEX('İzin Planı'!$G$6:$G$35,17-5)&gt;=('Özet'!$C$6+7*24)),AND(N(INDEX('İzin Planı'!$I$6:$I$35,17-5))&gt;0,INDEX('İzin Planı'!$I$6:$I$35,17-5)&lt;=('Özet'!$C$6+7*24)+6,INDEX('İzin Planı'!$J$6:$J$35,17-5)&gt;=('Özet'!$C$6+7*24)),AND(N(INDEX('İzin Planı'!$L$6:$L$35,17-5))&gt;0,INDEX('İzin Planı'!$L$6:$L$35,17-5)&lt;=('Özet'!$C$6+7*24)+6,INDEX('İzin Planı'!$M$6:$M$35,17-5)&gt;=('Özet'!$C$6+7*24))),"İ",""))</f>
      </c>
      <c r="AB17" s="13">
        <f>IF(INDEX('İzin Planı'!$C$6:$C$35,17-5)="","",IF(OR(AND(N(INDEX('İzin Planı'!$F$6:$F$35,17-5))&gt;0,INDEX('İzin Planı'!$F$6:$F$35,17-5)&lt;=('Özet'!$C$6+7*25)+6,INDEX('İzin Planı'!$G$6:$G$35,17-5)&gt;=('Özet'!$C$6+7*25)),AND(N(INDEX('İzin Planı'!$I$6:$I$35,17-5))&gt;0,INDEX('İzin Planı'!$I$6:$I$35,17-5)&lt;=('Özet'!$C$6+7*25)+6,INDEX('İzin Planı'!$J$6:$J$35,17-5)&gt;=('Özet'!$C$6+7*25)),AND(N(INDEX('İzin Planı'!$L$6:$L$35,17-5))&gt;0,INDEX('İzin Planı'!$L$6:$L$35,17-5)&lt;=('Özet'!$C$6+7*25)+6,INDEX('İzin Planı'!$M$6:$M$35,17-5)&gt;=('Özet'!$C$6+7*25))),"İ",""))</f>
      </c>
      <c r="AC17" s="13">
        <f>IF(INDEX('İzin Planı'!$C$6:$C$35,17-5)="","",IF(OR(AND(N(INDEX('İzin Planı'!$F$6:$F$35,17-5))&gt;0,INDEX('İzin Planı'!$F$6:$F$35,17-5)&lt;=('Özet'!$C$6+7*26)+6,INDEX('İzin Planı'!$G$6:$G$35,17-5)&gt;=('Özet'!$C$6+7*26)),AND(N(INDEX('İzin Planı'!$I$6:$I$35,17-5))&gt;0,INDEX('İzin Planı'!$I$6:$I$35,17-5)&lt;=('Özet'!$C$6+7*26)+6,INDEX('İzin Planı'!$J$6:$J$35,17-5)&gt;=('Özet'!$C$6+7*26)),AND(N(INDEX('İzin Planı'!$L$6:$L$35,17-5))&gt;0,INDEX('İzin Planı'!$L$6:$L$35,17-5)&lt;=('Özet'!$C$6+7*26)+6,INDEX('İzin Planı'!$M$6:$M$35,17-5)&gt;=('Özet'!$C$6+7*26))),"İ",""))</f>
      </c>
      <c r="AD17" s="13">
        <f>IF(INDEX('İzin Planı'!$C$6:$C$35,17-5)="","",IF(OR(AND(N(INDEX('İzin Planı'!$F$6:$F$35,17-5))&gt;0,INDEX('İzin Planı'!$F$6:$F$35,17-5)&lt;=('Özet'!$C$6+7*27)+6,INDEX('İzin Planı'!$G$6:$G$35,17-5)&gt;=('Özet'!$C$6+7*27)),AND(N(INDEX('İzin Planı'!$I$6:$I$35,17-5))&gt;0,INDEX('İzin Planı'!$I$6:$I$35,17-5)&lt;=('Özet'!$C$6+7*27)+6,INDEX('İzin Planı'!$J$6:$J$35,17-5)&gt;=('Özet'!$C$6+7*27)),AND(N(INDEX('İzin Planı'!$L$6:$L$35,17-5))&gt;0,INDEX('İzin Planı'!$L$6:$L$35,17-5)&lt;=('Özet'!$C$6+7*27)+6,INDEX('İzin Planı'!$M$6:$M$35,17-5)&gt;=('Özet'!$C$6+7*27))),"İ",""))</f>
      </c>
      <c r="AE17" s="13">
        <f>IF(INDEX('İzin Planı'!$C$6:$C$35,17-5)="","",IF(OR(AND(N(INDEX('İzin Planı'!$F$6:$F$35,17-5))&gt;0,INDEX('İzin Planı'!$F$6:$F$35,17-5)&lt;=('Özet'!$C$6+7*28)+6,INDEX('İzin Planı'!$G$6:$G$35,17-5)&gt;=('Özet'!$C$6+7*28)),AND(N(INDEX('İzin Planı'!$I$6:$I$35,17-5))&gt;0,INDEX('İzin Planı'!$I$6:$I$35,17-5)&lt;=('Özet'!$C$6+7*28)+6,INDEX('İzin Planı'!$J$6:$J$35,17-5)&gt;=('Özet'!$C$6+7*28)),AND(N(INDEX('İzin Planı'!$L$6:$L$35,17-5))&gt;0,INDEX('İzin Planı'!$L$6:$L$35,17-5)&lt;=('Özet'!$C$6+7*28)+6,INDEX('İzin Planı'!$M$6:$M$35,17-5)&gt;=('Özet'!$C$6+7*28))),"İ",""))</f>
      </c>
      <c r="AF17" s="13">
        <f>IF(INDEX('İzin Planı'!$C$6:$C$35,17-5)="","",IF(OR(AND(N(INDEX('İzin Planı'!$F$6:$F$35,17-5))&gt;0,INDEX('İzin Planı'!$F$6:$F$35,17-5)&lt;=('Özet'!$C$6+7*29)+6,INDEX('İzin Planı'!$G$6:$G$35,17-5)&gt;=('Özet'!$C$6+7*29)),AND(N(INDEX('İzin Planı'!$I$6:$I$35,17-5))&gt;0,INDEX('İzin Planı'!$I$6:$I$35,17-5)&lt;=('Özet'!$C$6+7*29)+6,INDEX('İzin Planı'!$J$6:$J$35,17-5)&gt;=('Özet'!$C$6+7*29)),AND(N(INDEX('İzin Planı'!$L$6:$L$35,17-5))&gt;0,INDEX('İzin Planı'!$L$6:$L$35,17-5)&lt;=('Özet'!$C$6+7*29)+6,INDEX('İzin Planı'!$M$6:$M$35,17-5)&gt;=('Özet'!$C$6+7*29))),"İ",""))</f>
      </c>
      <c r="AG17" s="13">
        <f>IF(INDEX('İzin Planı'!$C$6:$C$35,17-5)="","",IF(OR(AND(N(INDEX('İzin Planı'!$F$6:$F$35,17-5))&gt;0,INDEX('İzin Planı'!$F$6:$F$35,17-5)&lt;=('Özet'!$C$6+7*30)+6,INDEX('İzin Planı'!$G$6:$G$35,17-5)&gt;=('Özet'!$C$6+7*30)),AND(N(INDEX('İzin Planı'!$I$6:$I$35,17-5))&gt;0,INDEX('İzin Planı'!$I$6:$I$35,17-5)&lt;=('Özet'!$C$6+7*30)+6,INDEX('İzin Planı'!$J$6:$J$35,17-5)&gt;=('Özet'!$C$6+7*30)),AND(N(INDEX('İzin Planı'!$L$6:$L$35,17-5))&gt;0,INDEX('İzin Planı'!$L$6:$L$35,17-5)&lt;=('Özet'!$C$6+7*30)+6,INDEX('İzin Planı'!$M$6:$M$35,17-5)&gt;=('Özet'!$C$6+7*30))),"İ",""))</f>
      </c>
      <c r="AH17" s="13">
        <f>IF(INDEX('İzin Planı'!$C$6:$C$35,17-5)="","",IF(OR(AND(N(INDEX('İzin Planı'!$F$6:$F$35,17-5))&gt;0,INDEX('İzin Planı'!$F$6:$F$35,17-5)&lt;=('Özet'!$C$6+7*31)+6,INDEX('İzin Planı'!$G$6:$G$35,17-5)&gt;=('Özet'!$C$6+7*31)),AND(N(INDEX('İzin Planı'!$I$6:$I$35,17-5))&gt;0,INDEX('İzin Planı'!$I$6:$I$35,17-5)&lt;=('Özet'!$C$6+7*31)+6,INDEX('İzin Planı'!$J$6:$J$35,17-5)&gt;=('Özet'!$C$6+7*31)),AND(N(INDEX('İzin Planı'!$L$6:$L$35,17-5))&gt;0,INDEX('İzin Planı'!$L$6:$L$35,17-5)&lt;=('Özet'!$C$6+7*31)+6,INDEX('İzin Planı'!$M$6:$M$35,17-5)&gt;=('Özet'!$C$6+7*31))),"İ",""))</f>
      </c>
      <c r="AI17" s="13">
        <f>IF(INDEX('İzin Planı'!$C$6:$C$35,17-5)="","",IF(OR(AND(N(INDEX('İzin Planı'!$F$6:$F$35,17-5))&gt;0,INDEX('İzin Planı'!$F$6:$F$35,17-5)&lt;=('Özet'!$C$6+7*32)+6,INDEX('İzin Planı'!$G$6:$G$35,17-5)&gt;=('Özet'!$C$6+7*32)),AND(N(INDEX('İzin Planı'!$I$6:$I$35,17-5))&gt;0,INDEX('İzin Planı'!$I$6:$I$35,17-5)&lt;=('Özet'!$C$6+7*32)+6,INDEX('İzin Planı'!$J$6:$J$35,17-5)&gt;=('Özet'!$C$6+7*32)),AND(N(INDEX('İzin Planı'!$L$6:$L$35,17-5))&gt;0,INDEX('İzin Planı'!$L$6:$L$35,17-5)&lt;=('Özet'!$C$6+7*32)+6,INDEX('İzin Planı'!$M$6:$M$35,17-5)&gt;=('Özet'!$C$6+7*32))),"İ",""))</f>
      </c>
      <c r="AJ17" s="13">
        <f>IF(INDEX('İzin Planı'!$C$6:$C$35,17-5)="","",IF(OR(AND(N(INDEX('İzin Planı'!$F$6:$F$35,17-5))&gt;0,INDEX('İzin Planı'!$F$6:$F$35,17-5)&lt;=('Özet'!$C$6+7*33)+6,INDEX('İzin Planı'!$G$6:$G$35,17-5)&gt;=('Özet'!$C$6+7*33)),AND(N(INDEX('İzin Planı'!$I$6:$I$35,17-5))&gt;0,INDEX('İzin Planı'!$I$6:$I$35,17-5)&lt;=('Özet'!$C$6+7*33)+6,INDEX('İzin Planı'!$J$6:$J$35,17-5)&gt;=('Özet'!$C$6+7*33)),AND(N(INDEX('İzin Planı'!$L$6:$L$35,17-5))&gt;0,INDEX('İzin Planı'!$L$6:$L$35,17-5)&lt;=('Özet'!$C$6+7*33)+6,INDEX('İzin Planı'!$M$6:$M$35,17-5)&gt;=('Özet'!$C$6+7*33))),"İ",""))</f>
      </c>
      <c r="AK17" s="13">
        <f>IF(INDEX('İzin Planı'!$C$6:$C$35,17-5)="","",IF(OR(AND(N(INDEX('İzin Planı'!$F$6:$F$35,17-5))&gt;0,INDEX('İzin Planı'!$F$6:$F$35,17-5)&lt;=('Özet'!$C$6+7*34)+6,INDEX('İzin Planı'!$G$6:$G$35,17-5)&gt;=('Özet'!$C$6+7*34)),AND(N(INDEX('İzin Planı'!$I$6:$I$35,17-5))&gt;0,INDEX('İzin Planı'!$I$6:$I$35,17-5)&lt;=('Özet'!$C$6+7*34)+6,INDEX('İzin Planı'!$J$6:$J$35,17-5)&gt;=('Özet'!$C$6+7*34)),AND(N(INDEX('İzin Planı'!$L$6:$L$35,17-5))&gt;0,INDEX('İzin Planı'!$L$6:$L$35,17-5)&lt;=('Özet'!$C$6+7*34)+6,INDEX('İzin Planı'!$M$6:$M$35,17-5)&gt;=('Özet'!$C$6+7*34))),"İ",""))</f>
      </c>
      <c r="AL17" s="13">
        <f>IF(INDEX('İzin Planı'!$C$6:$C$35,17-5)="","",IF(OR(AND(N(INDEX('İzin Planı'!$F$6:$F$35,17-5))&gt;0,INDEX('İzin Planı'!$F$6:$F$35,17-5)&lt;=('Özet'!$C$6+7*35)+6,INDEX('İzin Planı'!$G$6:$G$35,17-5)&gt;=('Özet'!$C$6+7*35)),AND(N(INDEX('İzin Planı'!$I$6:$I$35,17-5))&gt;0,INDEX('İzin Planı'!$I$6:$I$35,17-5)&lt;=('Özet'!$C$6+7*35)+6,INDEX('İzin Planı'!$J$6:$J$35,17-5)&gt;=('Özet'!$C$6+7*35)),AND(N(INDEX('İzin Planı'!$L$6:$L$35,17-5))&gt;0,INDEX('İzin Planı'!$L$6:$L$35,17-5)&lt;=('Özet'!$C$6+7*35)+6,INDEX('İzin Planı'!$M$6:$M$35,17-5)&gt;=('Özet'!$C$6+7*35))),"İ",""))</f>
      </c>
      <c r="AM17" s="13">
        <f>IF(INDEX('İzin Planı'!$C$6:$C$35,17-5)="","",IF(OR(AND(N(INDEX('İzin Planı'!$F$6:$F$35,17-5))&gt;0,INDEX('İzin Planı'!$F$6:$F$35,17-5)&lt;=('Özet'!$C$6+7*36)+6,INDEX('İzin Planı'!$G$6:$G$35,17-5)&gt;=('Özet'!$C$6+7*36)),AND(N(INDEX('İzin Planı'!$I$6:$I$35,17-5))&gt;0,INDEX('İzin Planı'!$I$6:$I$35,17-5)&lt;=('Özet'!$C$6+7*36)+6,INDEX('İzin Planı'!$J$6:$J$35,17-5)&gt;=('Özet'!$C$6+7*36)),AND(N(INDEX('İzin Planı'!$L$6:$L$35,17-5))&gt;0,INDEX('İzin Planı'!$L$6:$L$35,17-5)&lt;=('Özet'!$C$6+7*36)+6,INDEX('İzin Planı'!$M$6:$M$35,17-5)&gt;=('Özet'!$C$6+7*36))),"İ",""))</f>
      </c>
      <c r="AN17" s="13">
        <f>IF(INDEX('İzin Planı'!$C$6:$C$35,17-5)="","",IF(OR(AND(N(INDEX('İzin Planı'!$F$6:$F$35,17-5))&gt;0,INDEX('İzin Planı'!$F$6:$F$35,17-5)&lt;=('Özet'!$C$6+7*37)+6,INDEX('İzin Planı'!$G$6:$G$35,17-5)&gt;=('Özet'!$C$6+7*37)),AND(N(INDEX('İzin Planı'!$I$6:$I$35,17-5))&gt;0,INDEX('İzin Planı'!$I$6:$I$35,17-5)&lt;=('Özet'!$C$6+7*37)+6,INDEX('İzin Planı'!$J$6:$J$35,17-5)&gt;=('Özet'!$C$6+7*37)),AND(N(INDEX('İzin Planı'!$L$6:$L$35,17-5))&gt;0,INDEX('İzin Planı'!$L$6:$L$35,17-5)&lt;=('Özet'!$C$6+7*37)+6,INDEX('İzin Planı'!$M$6:$M$35,17-5)&gt;=('Özet'!$C$6+7*37))),"İ",""))</f>
      </c>
      <c r="AO17" s="13">
        <f>IF(INDEX('İzin Planı'!$C$6:$C$35,17-5)="","",IF(OR(AND(N(INDEX('İzin Planı'!$F$6:$F$35,17-5))&gt;0,INDEX('İzin Planı'!$F$6:$F$35,17-5)&lt;=('Özet'!$C$6+7*38)+6,INDEX('İzin Planı'!$G$6:$G$35,17-5)&gt;=('Özet'!$C$6+7*38)),AND(N(INDEX('İzin Planı'!$I$6:$I$35,17-5))&gt;0,INDEX('İzin Planı'!$I$6:$I$35,17-5)&lt;=('Özet'!$C$6+7*38)+6,INDEX('İzin Planı'!$J$6:$J$35,17-5)&gt;=('Özet'!$C$6+7*38)),AND(N(INDEX('İzin Planı'!$L$6:$L$35,17-5))&gt;0,INDEX('İzin Planı'!$L$6:$L$35,17-5)&lt;=('Özet'!$C$6+7*38)+6,INDEX('İzin Planı'!$M$6:$M$35,17-5)&gt;=('Özet'!$C$6+7*38))),"İ",""))</f>
      </c>
      <c r="AP17" s="13">
        <f>IF(INDEX('İzin Planı'!$C$6:$C$35,17-5)="","",IF(OR(AND(N(INDEX('İzin Planı'!$F$6:$F$35,17-5))&gt;0,INDEX('İzin Planı'!$F$6:$F$35,17-5)&lt;=('Özet'!$C$6+7*39)+6,INDEX('İzin Planı'!$G$6:$G$35,17-5)&gt;=('Özet'!$C$6+7*39)),AND(N(INDEX('İzin Planı'!$I$6:$I$35,17-5))&gt;0,INDEX('İzin Planı'!$I$6:$I$35,17-5)&lt;=('Özet'!$C$6+7*39)+6,INDEX('İzin Planı'!$J$6:$J$35,17-5)&gt;=('Özet'!$C$6+7*39)),AND(N(INDEX('İzin Planı'!$L$6:$L$35,17-5))&gt;0,INDEX('İzin Planı'!$L$6:$L$35,17-5)&lt;=('Özet'!$C$6+7*39)+6,INDEX('İzin Planı'!$M$6:$M$35,17-5)&gt;=('Özet'!$C$6+7*39))),"İ",""))</f>
      </c>
      <c r="AQ17" s="13">
        <f>IF(INDEX('İzin Planı'!$C$6:$C$35,17-5)="","",IF(OR(AND(N(INDEX('İzin Planı'!$F$6:$F$35,17-5))&gt;0,INDEX('İzin Planı'!$F$6:$F$35,17-5)&lt;=('Özet'!$C$6+7*40)+6,INDEX('İzin Planı'!$G$6:$G$35,17-5)&gt;=('Özet'!$C$6+7*40)),AND(N(INDEX('İzin Planı'!$I$6:$I$35,17-5))&gt;0,INDEX('İzin Planı'!$I$6:$I$35,17-5)&lt;=('Özet'!$C$6+7*40)+6,INDEX('İzin Planı'!$J$6:$J$35,17-5)&gt;=('Özet'!$C$6+7*40)),AND(N(INDEX('İzin Planı'!$L$6:$L$35,17-5))&gt;0,INDEX('İzin Planı'!$L$6:$L$35,17-5)&lt;=('Özet'!$C$6+7*40)+6,INDEX('İzin Planı'!$M$6:$M$35,17-5)&gt;=('Özet'!$C$6+7*40))),"İ",""))</f>
      </c>
      <c r="AR17" s="13">
        <f>IF(INDEX('İzin Planı'!$C$6:$C$35,17-5)="","",IF(OR(AND(N(INDEX('İzin Planı'!$F$6:$F$35,17-5))&gt;0,INDEX('İzin Planı'!$F$6:$F$35,17-5)&lt;=('Özet'!$C$6+7*41)+6,INDEX('İzin Planı'!$G$6:$G$35,17-5)&gt;=('Özet'!$C$6+7*41)),AND(N(INDEX('İzin Planı'!$I$6:$I$35,17-5))&gt;0,INDEX('İzin Planı'!$I$6:$I$35,17-5)&lt;=('Özet'!$C$6+7*41)+6,INDEX('İzin Planı'!$J$6:$J$35,17-5)&gt;=('Özet'!$C$6+7*41)),AND(N(INDEX('İzin Planı'!$L$6:$L$35,17-5))&gt;0,INDEX('İzin Planı'!$L$6:$L$35,17-5)&lt;=('Özet'!$C$6+7*41)+6,INDEX('İzin Planı'!$M$6:$M$35,17-5)&gt;=('Özet'!$C$6+7*41))),"İ",""))</f>
      </c>
      <c r="AS17" s="13">
        <f>IF(INDEX('İzin Planı'!$C$6:$C$35,17-5)="","",IF(OR(AND(N(INDEX('İzin Planı'!$F$6:$F$35,17-5))&gt;0,INDEX('İzin Planı'!$F$6:$F$35,17-5)&lt;=('Özet'!$C$6+7*42)+6,INDEX('İzin Planı'!$G$6:$G$35,17-5)&gt;=('Özet'!$C$6+7*42)),AND(N(INDEX('İzin Planı'!$I$6:$I$35,17-5))&gt;0,INDEX('İzin Planı'!$I$6:$I$35,17-5)&lt;=('Özet'!$C$6+7*42)+6,INDEX('İzin Planı'!$J$6:$J$35,17-5)&gt;=('Özet'!$C$6+7*42)),AND(N(INDEX('İzin Planı'!$L$6:$L$35,17-5))&gt;0,INDEX('İzin Planı'!$L$6:$L$35,17-5)&lt;=('Özet'!$C$6+7*42)+6,INDEX('İzin Planı'!$M$6:$M$35,17-5)&gt;=('Özet'!$C$6+7*42))),"İ",""))</f>
      </c>
      <c r="AT17" s="13">
        <f>IF(INDEX('İzin Planı'!$C$6:$C$35,17-5)="","",IF(OR(AND(N(INDEX('İzin Planı'!$F$6:$F$35,17-5))&gt;0,INDEX('İzin Planı'!$F$6:$F$35,17-5)&lt;=('Özet'!$C$6+7*43)+6,INDEX('İzin Planı'!$G$6:$G$35,17-5)&gt;=('Özet'!$C$6+7*43)),AND(N(INDEX('İzin Planı'!$I$6:$I$35,17-5))&gt;0,INDEX('İzin Planı'!$I$6:$I$35,17-5)&lt;=('Özet'!$C$6+7*43)+6,INDEX('İzin Planı'!$J$6:$J$35,17-5)&gt;=('Özet'!$C$6+7*43)),AND(N(INDEX('İzin Planı'!$L$6:$L$35,17-5))&gt;0,INDEX('İzin Planı'!$L$6:$L$35,17-5)&lt;=('Özet'!$C$6+7*43)+6,INDEX('İzin Planı'!$M$6:$M$35,17-5)&gt;=('Özet'!$C$6+7*43))),"İ",""))</f>
      </c>
      <c r="AU17" s="13">
        <f>IF(INDEX('İzin Planı'!$C$6:$C$35,17-5)="","",IF(OR(AND(N(INDEX('İzin Planı'!$F$6:$F$35,17-5))&gt;0,INDEX('İzin Planı'!$F$6:$F$35,17-5)&lt;=('Özet'!$C$6+7*44)+6,INDEX('İzin Planı'!$G$6:$G$35,17-5)&gt;=('Özet'!$C$6+7*44)),AND(N(INDEX('İzin Planı'!$I$6:$I$35,17-5))&gt;0,INDEX('İzin Planı'!$I$6:$I$35,17-5)&lt;=('Özet'!$C$6+7*44)+6,INDEX('İzin Planı'!$J$6:$J$35,17-5)&gt;=('Özet'!$C$6+7*44)),AND(N(INDEX('İzin Planı'!$L$6:$L$35,17-5))&gt;0,INDEX('İzin Planı'!$L$6:$L$35,17-5)&lt;=('Özet'!$C$6+7*44)+6,INDEX('İzin Planı'!$M$6:$M$35,17-5)&gt;=('Özet'!$C$6+7*44))),"İ",""))</f>
      </c>
      <c r="AV17" s="13">
        <f>IF(INDEX('İzin Planı'!$C$6:$C$35,17-5)="","",IF(OR(AND(N(INDEX('İzin Planı'!$F$6:$F$35,17-5))&gt;0,INDEX('İzin Planı'!$F$6:$F$35,17-5)&lt;=('Özet'!$C$6+7*45)+6,INDEX('İzin Planı'!$G$6:$G$35,17-5)&gt;=('Özet'!$C$6+7*45)),AND(N(INDEX('İzin Planı'!$I$6:$I$35,17-5))&gt;0,INDEX('İzin Planı'!$I$6:$I$35,17-5)&lt;=('Özet'!$C$6+7*45)+6,INDEX('İzin Planı'!$J$6:$J$35,17-5)&gt;=('Özet'!$C$6+7*45)),AND(N(INDEX('İzin Planı'!$L$6:$L$35,17-5))&gt;0,INDEX('İzin Planı'!$L$6:$L$35,17-5)&lt;=('Özet'!$C$6+7*45)+6,INDEX('İzin Planı'!$M$6:$M$35,17-5)&gt;=('Özet'!$C$6+7*45))),"İ",""))</f>
      </c>
      <c r="AW17" s="13">
        <f>IF(INDEX('İzin Planı'!$C$6:$C$35,17-5)="","",IF(OR(AND(N(INDEX('İzin Planı'!$F$6:$F$35,17-5))&gt;0,INDEX('İzin Planı'!$F$6:$F$35,17-5)&lt;=('Özet'!$C$6+7*46)+6,INDEX('İzin Planı'!$G$6:$G$35,17-5)&gt;=('Özet'!$C$6+7*46)),AND(N(INDEX('İzin Planı'!$I$6:$I$35,17-5))&gt;0,INDEX('İzin Planı'!$I$6:$I$35,17-5)&lt;=('Özet'!$C$6+7*46)+6,INDEX('İzin Planı'!$J$6:$J$35,17-5)&gt;=('Özet'!$C$6+7*46)),AND(N(INDEX('İzin Planı'!$L$6:$L$35,17-5))&gt;0,INDEX('İzin Planı'!$L$6:$L$35,17-5)&lt;=('Özet'!$C$6+7*46)+6,INDEX('İzin Planı'!$M$6:$M$35,17-5)&gt;=('Özet'!$C$6+7*46))),"İ",""))</f>
      </c>
      <c r="AX17" s="13">
        <f>IF(INDEX('İzin Planı'!$C$6:$C$35,17-5)="","",IF(OR(AND(N(INDEX('İzin Planı'!$F$6:$F$35,17-5))&gt;0,INDEX('İzin Planı'!$F$6:$F$35,17-5)&lt;=('Özet'!$C$6+7*47)+6,INDEX('İzin Planı'!$G$6:$G$35,17-5)&gt;=('Özet'!$C$6+7*47)),AND(N(INDEX('İzin Planı'!$I$6:$I$35,17-5))&gt;0,INDEX('İzin Planı'!$I$6:$I$35,17-5)&lt;=('Özet'!$C$6+7*47)+6,INDEX('İzin Planı'!$J$6:$J$35,17-5)&gt;=('Özet'!$C$6+7*47)),AND(N(INDEX('İzin Planı'!$L$6:$L$35,17-5))&gt;0,INDEX('İzin Planı'!$L$6:$L$35,17-5)&lt;=('Özet'!$C$6+7*47)+6,INDEX('İzin Planı'!$M$6:$M$35,17-5)&gt;=('Özet'!$C$6+7*47))),"İ",""))</f>
      </c>
      <c r="AY17" s="13">
        <f>IF(INDEX('İzin Planı'!$C$6:$C$35,17-5)="","",IF(OR(AND(N(INDEX('İzin Planı'!$F$6:$F$35,17-5))&gt;0,INDEX('İzin Planı'!$F$6:$F$35,17-5)&lt;=('Özet'!$C$6+7*48)+6,INDEX('İzin Planı'!$G$6:$G$35,17-5)&gt;=('Özet'!$C$6+7*48)),AND(N(INDEX('İzin Planı'!$I$6:$I$35,17-5))&gt;0,INDEX('İzin Planı'!$I$6:$I$35,17-5)&lt;=('Özet'!$C$6+7*48)+6,INDEX('İzin Planı'!$J$6:$J$35,17-5)&gt;=('Özet'!$C$6+7*48)),AND(N(INDEX('İzin Planı'!$L$6:$L$35,17-5))&gt;0,INDEX('İzin Planı'!$L$6:$L$35,17-5)&lt;=('Özet'!$C$6+7*48)+6,INDEX('İzin Planı'!$M$6:$M$35,17-5)&gt;=('Özet'!$C$6+7*48))),"İ",""))</f>
      </c>
      <c r="AZ17" s="13">
        <f>IF(INDEX('İzin Planı'!$C$6:$C$35,17-5)="","",IF(OR(AND(N(INDEX('İzin Planı'!$F$6:$F$35,17-5))&gt;0,INDEX('İzin Planı'!$F$6:$F$35,17-5)&lt;=('Özet'!$C$6+7*49)+6,INDEX('İzin Planı'!$G$6:$G$35,17-5)&gt;=('Özet'!$C$6+7*49)),AND(N(INDEX('İzin Planı'!$I$6:$I$35,17-5))&gt;0,INDEX('İzin Planı'!$I$6:$I$35,17-5)&lt;=('Özet'!$C$6+7*49)+6,INDEX('İzin Planı'!$J$6:$J$35,17-5)&gt;=('Özet'!$C$6+7*49)),AND(N(INDEX('İzin Planı'!$L$6:$L$35,17-5))&gt;0,INDEX('İzin Planı'!$L$6:$L$35,17-5)&lt;=('Özet'!$C$6+7*49)+6,INDEX('İzin Planı'!$M$6:$M$35,17-5)&gt;=('Özet'!$C$6+7*49))),"İ",""))</f>
      </c>
      <c r="BA17" s="13">
        <f>IF(INDEX('İzin Planı'!$C$6:$C$35,17-5)="","",IF(OR(AND(N(INDEX('İzin Planı'!$F$6:$F$35,17-5))&gt;0,INDEX('İzin Planı'!$F$6:$F$35,17-5)&lt;=('Özet'!$C$6+7*50)+6,INDEX('İzin Planı'!$G$6:$G$35,17-5)&gt;=('Özet'!$C$6+7*50)),AND(N(INDEX('İzin Planı'!$I$6:$I$35,17-5))&gt;0,INDEX('İzin Planı'!$I$6:$I$35,17-5)&lt;=('Özet'!$C$6+7*50)+6,INDEX('İzin Planı'!$J$6:$J$35,17-5)&gt;=('Özet'!$C$6+7*50)),AND(N(INDEX('İzin Planı'!$L$6:$L$35,17-5))&gt;0,INDEX('İzin Planı'!$L$6:$L$35,17-5)&lt;=('Özet'!$C$6+7*50)+6,INDEX('İzin Planı'!$M$6:$M$35,17-5)&gt;=('Özet'!$C$6+7*50))),"İ",""))</f>
      </c>
      <c r="BB17" s="13">
        <f>IF(INDEX('İzin Planı'!$C$6:$C$35,17-5)="","",IF(OR(AND(N(INDEX('İzin Planı'!$F$6:$F$35,17-5))&gt;0,INDEX('İzin Planı'!$F$6:$F$35,17-5)&lt;=('Özet'!$C$6+7*51)+6,INDEX('İzin Planı'!$G$6:$G$35,17-5)&gt;=('Özet'!$C$6+7*51)),AND(N(INDEX('İzin Planı'!$I$6:$I$35,17-5))&gt;0,INDEX('İzin Planı'!$I$6:$I$35,17-5)&lt;=('Özet'!$C$6+7*51)+6,INDEX('İzin Planı'!$J$6:$J$35,17-5)&gt;=('Özet'!$C$6+7*51)),AND(N(INDEX('İzin Planı'!$L$6:$L$35,17-5))&gt;0,INDEX('İzin Planı'!$L$6:$L$35,17-5)&lt;=('Özet'!$C$6+7*51)+6,INDEX('İzin Planı'!$M$6:$M$35,17-5)&gt;=('Özet'!$C$6+7*51))),"İ",""))</f>
      </c>
      <c r="BC17" s="13">
        <f>IF(INDEX('İzin Planı'!$C$6:$C$35,17-5)="","",IF(OR(AND(N(INDEX('İzin Planı'!$F$6:$F$35,17-5))&gt;0,INDEX('İzin Planı'!$F$6:$F$35,17-5)&lt;=('Özet'!$C$6+7*52)+6,INDEX('İzin Planı'!$G$6:$G$35,17-5)&gt;=('Özet'!$C$6+7*52)),AND(N(INDEX('İzin Planı'!$I$6:$I$35,17-5))&gt;0,INDEX('İzin Planı'!$I$6:$I$35,17-5)&lt;=('Özet'!$C$6+7*52)+6,INDEX('İzin Planı'!$J$6:$J$35,17-5)&gt;=('Özet'!$C$6+7*52)),AND(N(INDEX('İzin Planı'!$L$6:$L$35,17-5))&gt;0,INDEX('İzin Planı'!$L$6:$L$35,17-5)&lt;=('Özet'!$C$6+7*52)+6,INDEX('İzin Planı'!$M$6:$M$35,17-5)&gt;=('Özet'!$C$6+7*52))),"İ",""))</f>
      </c>
    </row>
    <row r="18" ht="18" customHeight="1" spans="1:55" x14ac:dyDescent="0.25">
      <c r="A18" s="6">
        <v>13</v>
      </c>
      <c r="B18" s="13">
        <f>IF(INDEX('İzin Planı'!$C$6:$C$35,18-5)="","",INDEX('İzin Planı'!$C$6:$C$35,18-5))</f>
      </c>
      <c r="C18" s="13">
        <f>IF(INDEX('İzin Planı'!$C$6:$C$35,18-5)="","",IF(OR(AND(N(INDEX('İzin Planı'!$F$6:$F$35,18-5))&gt;0,INDEX('İzin Planı'!$F$6:$F$35,18-5)&lt;=('Özet'!$C$6+7*0)+6,INDEX('İzin Planı'!$G$6:$G$35,18-5)&gt;=('Özet'!$C$6+7*0)),AND(N(INDEX('İzin Planı'!$I$6:$I$35,18-5))&gt;0,INDEX('İzin Planı'!$I$6:$I$35,18-5)&lt;=('Özet'!$C$6+7*0)+6,INDEX('İzin Planı'!$J$6:$J$35,18-5)&gt;=('Özet'!$C$6+7*0)),AND(N(INDEX('İzin Planı'!$L$6:$L$35,18-5))&gt;0,INDEX('İzin Planı'!$L$6:$L$35,18-5)&lt;=('Özet'!$C$6+7*0)+6,INDEX('İzin Planı'!$M$6:$M$35,18-5)&gt;=('Özet'!$C$6+7*0))),"İ",""))</f>
      </c>
      <c r="D18" s="13">
        <f>IF(INDEX('İzin Planı'!$C$6:$C$35,18-5)="","",IF(OR(AND(N(INDEX('İzin Planı'!$F$6:$F$35,18-5))&gt;0,INDEX('İzin Planı'!$F$6:$F$35,18-5)&lt;=('Özet'!$C$6+7*1)+6,INDEX('İzin Planı'!$G$6:$G$35,18-5)&gt;=('Özet'!$C$6+7*1)),AND(N(INDEX('İzin Planı'!$I$6:$I$35,18-5))&gt;0,INDEX('İzin Planı'!$I$6:$I$35,18-5)&lt;=('Özet'!$C$6+7*1)+6,INDEX('İzin Planı'!$J$6:$J$35,18-5)&gt;=('Özet'!$C$6+7*1)),AND(N(INDEX('İzin Planı'!$L$6:$L$35,18-5))&gt;0,INDEX('İzin Planı'!$L$6:$L$35,18-5)&lt;=('Özet'!$C$6+7*1)+6,INDEX('İzin Planı'!$M$6:$M$35,18-5)&gt;=('Özet'!$C$6+7*1))),"İ",""))</f>
      </c>
      <c r="E18" s="13">
        <f>IF(INDEX('İzin Planı'!$C$6:$C$35,18-5)="","",IF(OR(AND(N(INDEX('İzin Planı'!$F$6:$F$35,18-5))&gt;0,INDEX('İzin Planı'!$F$6:$F$35,18-5)&lt;=('Özet'!$C$6+7*2)+6,INDEX('İzin Planı'!$G$6:$G$35,18-5)&gt;=('Özet'!$C$6+7*2)),AND(N(INDEX('İzin Planı'!$I$6:$I$35,18-5))&gt;0,INDEX('İzin Planı'!$I$6:$I$35,18-5)&lt;=('Özet'!$C$6+7*2)+6,INDEX('İzin Planı'!$J$6:$J$35,18-5)&gt;=('Özet'!$C$6+7*2)),AND(N(INDEX('İzin Planı'!$L$6:$L$35,18-5))&gt;0,INDEX('İzin Planı'!$L$6:$L$35,18-5)&lt;=('Özet'!$C$6+7*2)+6,INDEX('İzin Planı'!$M$6:$M$35,18-5)&gt;=('Özet'!$C$6+7*2))),"İ",""))</f>
      </c>
      <c r="F18" s="13">
        <f>IF(INDEX('İzin Planı'!$C$6:$C$35,18-5)="","",IF(OR(AND(N(INDEX('İzin Planı'!$F$6:$F$35,18-5))&gt;0,INDEX('İzin Planı'!$F$6:$F$35,18-5)&lt;=('Özet'!$C$6+7*3)+6,INDEX('İzin Planı'!$G$6:$G$35,18-5)&gt;=('Özet'!$C$6+7*3)),AND(N(INDEX('İzin Planı'!$I$6:$I$35,18-5))&gt;0,INDEX('İzin Planı'!$I$6:$I$35,18-5)&lt;=('Özet'!$C$6+7*3)+6,INDEX('İzin Planı'!$J$6:$J$35,18-5)&gt;=('Özet'!$C$6+7*3)),AND(N(INDEX('İzin Planı'!$L$6:$L$35,18-5))&gt;0,INDEX('İzin Planı'!$L$6:$L$35,18-5)&lt;=('Özet'!$C$6+7*3)+6,INDEX('İzin Planı'!$M$6:$M$35,18-5)&gt;=('Özet'!$C$6+7*3))),"İ",""))</f>
      </c>
      <c r="G18" s="13">
        <f>IF(INDEX('İzin Planı'!$C$6:$C$35,18-5)="","",IF(OR(AND(N(INDEX('İzin Planı'!$F$6:$F$35,18-5))&gt;0,INDEX('İzin Planı'!$F$6:$F$35,18-5)&lt;=('Özet'!$C$6+7*4)+6,INDEX('İzin Planı'!$G$6:$G$35,18-5)&gt;=('Özet'!$C$6+7*4)),AND(N(INDEX('İzin Planı'!$I$6:$I$35,18-5))&gt;0,INDEX('İzin Planı'!$I$6:$I$35,18-5)&lt;=('Özet'!$C$6+7*4)+6,INDEX('İzin Planı'!$J$6:$J$35,18-5)&gt;=('Özet'!$C$6+7*4)),AND(N(INDEX('İzin Planı'!$L$6:$L$35,18-5))&gt;0,INDEX('İzin Planı'!$L$6:$L$35,18-5)&lt;=('Özet'!$C$6+7*4)+6,INDEX('İzin Planı'!$M$6:$M$35,18-5)&gt;=('Özet'!$C$6+7*4))),"İ",""))</f>
      </c>
      <c r="H18" s="13">
        <f>IF(INDEX('İzin Planı'!$C$6:$C$35,18-5)="","",IF(OR(AND(N(INDEX('İzin Planı'!$F$6:$F$35,18-5))&gt;0,INDEX('İzin Planı'!$F$6:$F$35,18-5)&lt;=('Özet'!$C$6+7*5)+6,INDEX('İzin Planı'!$G$6:$G$35,18-5)&gt;=('Özet'!$C$6+7*5)),AND(N(INDEX('İzin Planı'!$I$6:$I$35,18-5))&gt;0,INDEX('İzin Planı'!$I$6:$I$35,18-5)&lt;=('Özet'!$C$6+7*5)+6,INDEX('İzin Planı'!$J$6:$J$35,18-5)&gt;=('Özet'!$C$6+7*5)),AND(N(INDEX('İzin Planı'!$L$6:$L$35,18-5))&gt;0,INDEX('İzin Planı'!$L$6:$L$35,18-5)&lt;=('Özet'!$C$6+7*5)+6,INDEX('İzin Planı'!$M$6:$M$35,18-5)&gt;=('Özet'!$C$6+7*5))),"İ",""))</f>
      </c>
      <c r="I18" s="13">
        <f>IF(INDEX('İzin Planı'!$C$6:$C$35,18-5)="","",IF(OR(AND(N(INDEX('İzin Planı'!$F$6:$F$35,18-5))&gt;0,INDEX('İzin Planı'!$F$6:$F$35,18-5)&lt;=('Özet'!$C$6+7*6)+6,INDEX('İzin Planı'!$G$6:$G$35,18-5)&gt;=('Özet'!$C$6+7*6)),AND(N(INDEX('İzin Planı'!$I$6:$I$35,18-5))&gt;0,INDEX('İzin Planı'!$I$6:$I$35,18-5)&lt;=('Özet'!$C$6+7*6)+6,INDEX('İzin Planı'!$J$6:$J$35,18-5)&gt;=('Özet'!$C$6+7*6)),AND(N(INDEX('İzin Planı'!$L$6:$L$35,18-5))&gt;0,INDEX('İzin Planı'!$L$6:$L$35,18-5)&lt;=('Özet'!$C$6+7*6)+6,INDEX('İzin Planı'!$M$6:$M$35,18-5)&gt;=('Özet'!$C$6+7*6))),"İ",""))</f>
      </c>
      <c r="J18" s="13">
        <f>IF(INDEX('İzin Planı'!$C$6:$C$35,18-5)="","",IF(OR(AND(N(INDEX('İzin Planı'!$F$6:$F$35,18-5))&gt;0,INDEX('İzin Planı'!$F$6:$F$35,18-5)&lt;=('Özet'!$C$6+7*7)+6,INDEX('İzin Planı'!$G$6:$G$35,18-5)&gt;=('Özet'!$C$6+7*7)),AND(N(INDEX('İzin Planı'!$I$6:$I$35,18-5))&gt;0,INDEX('İzin Planı'!$I$6:$I$35,18-5)&lt;=('Özet'!$C$6+7*7)+6,INDEX('İzin Planı'!$J$6:$J$35,18-5)&gt;=('Özet'!$C$6+7*7)),AND(N(INDEX('İzin Planı'!$L$6:$L$35,18-5))&gt;0,INDEX('İzin Planı'!$L$6:$L$35,18-5)&lt;=('Özet'!$C$6+7*7)+6,INDEX('İzin Planı'!$M$6:$M$35,18-5)&gt;=('Özet'!$C$6+7*7))),"İ",""))</f>
      </c>
      <c r="K18" s="13">
        <f>IF(INDEX('İzin Planı'!$C$6:$C$35,18-5)="","",IF(OR(AND(N(INDEX('İzin Planı'!$F$6:$F$35,18-5))&gt;0,INDEX('İzin Planı'!$F$6:$F$35,18-5)&lt;=('Özet'!$C$6+7*8)+6,INDEX('İzin Planı'!$G$6:$G$35,18-5)&gt;=('Özet'!$C$6+7*8)),AND(N(INDEX('İzin Planı'!$I$6:$I$35,18-5))&gt;0,INDEX('İzin Planı'!$I$6:$I$35,18-5)&lt;=('Özet'!$C$6+7*8)+6,INDEX('İzin Planı'!$J$6:$J$35,18-5)&gt;=('Özet'!$C$6+7*8)),AND(N(INDEX('İzin Planı'!$L$6:$L$35,18-5))&gt;0,INDEX('İzin Planı'!$L$6:$L$35,18-5)&lt;=('Özet'!$C$6+7*8)+6,INDEX('İzin Planı'!$M$6:$M$35,18-5)&gt;=('Özet'!$C$6+7*8))),"İ",""))</f>
      </c>
      <c r="L18" s="13">
        <f>IF(INDEX('İzin Planı'!$C$6:$C$35,18-5)="","",IF(OR(AND(N(INDEX('İzin Planı'!$F$6:$F$35,18-5))&gt;0,INDEX('İzin Planı'!$F$6:$F$35,18-5)&lt;=('Özet'!$C$6+7*9)+6,INDEX('İzin Planı'!$G$6:$G$35,18-5)&gt;=('Özet'!$C$6+7*9)),AND(N(INDEX('İzin Planı'!$I$6:$I$35,18-5))&gt;0,INDEX('İzin Planı'!$I$6:$I$35,18-5)&lt;=('Özet'!$C$6+7*9)+6,INDEX('İzin Planı'!$J$6:$J$35,18-5)&gt;=('Özet'!$C$6+7*9)),AND(N(INDEX('İzin Planı'!$L$6:$L$35,18-5))&gt;0,INDEX('İzin Planı'!$L$6:$L$35,18-5)&lt;=('Özet'!$C$6+7*9)+6,INDEX('İzin Planı'!$M$6:$M$35,18-5)&gt;=('Özet'!$C$6+7*9))),"İ",""))</f>
      </c>
      <c r="M18" s="13">
        <f>IF(INDEX('İzin Planı'!$C$6:$C$35,18-5)="","",IF(OR(AND(N(INDEX('İzin Planı'!$F$6:$F$35,18-5))&gt;0,INDEX('İzin Planı'!$F$6:$F$35,18-5)&lt;=('Özet'!$C$6+7*10)+6,INDEX('İzin Planı'!$G$6:$G$35,18-5)&gt;=('Özet'!$C$6+7*10)),AND(N(INDEX('İzin Planı'!$I$6:$I$35,18-5))&gt;0,INDEX('İzin Planı'!$I$6:$I$35,18-5)&lt;=('Özet'!$C$6+7*10)+6,INDEX('İzin Planı'!$J$6:$J$35,18-5)&gt;=('Özet'!$C$6+7*10)),AND(N(INDEX('İzin Planı'!$L$6:$L$35,18-5))&gt;0,INDEX('İzin Planı'!$L$6:$L$35,18-5)&lt;=('Özet'!$C$6+7*10)+6,INDEX('İzin Planı'!$M$6:$M$35,18-5)&gt;=('Özet'!$C$6+7*10))),"İ",""))</f>
      </c>
      <c r="N18" s="13">
        <f>IF(INDEX('İzin Planı'!$C$6:$C$35,18-5)="","",IF(OR(AND(N(INDEX('İzin Planı'!$F$6:$F$35,18-5))&gt;0,INDEX('İzin Planı'!$F$6:$F$35,18-5)&lt;=('Özet'!$C$6+7*11)+6,INDEX('İzin Planı'!$G$6:$G$35,18-5)&gt;=('Özet'!$C$6+7*11)),AND(N(INDEX('İzin Planı'!$I$6:$I$35,18-5))&gt;0,INDEX('İzin Planı'!$I$6:$I$35,18-5)&lt;=('Özet'!$C$6+7*11)+6,INDEX('İzin Planı'!$J$6:$J$35,18-5)&gt;=('Özet'!$C$6+7*11)),AND(N(INDEX('İzin Planı'!$L$6:$L$35,18-5))&gt;0,INDEX('İzin Planı'!$L$6:$L$35,18-5)&lt;=('Özet'!$C$6+7*11)+6,INDEX('İzin Planı'!$M$6:$M$35,18-5)&gt;=('Özet'!$C$6+7*11))),"İ",""))</f>
      </c>
      <c r="O18" s="13">
        <f>IF(INDEX('İzin Planı'!$C$6:$C$35,18-5)="","",IF(OR(AND(N(INDEX('İzin Planı'!$F$6:$F$35,18-5))&gt;0,INDEX('İzin Planı'!$F$6:$F$35,18-5)&lt;=('Özet'!$C$6+7*12)+6,INDEX('İzin Planı'!$G$6:$G$35,18-5)&gt;=('Özet'!$C$6+7*12)),AND(N(INDEX('İzin Planı'!$I$6:$I$35,18-5))&gt;0,INDEX('İzin Planı'!$I$6:$I$35,18-5)&lt;=('Özet'!$C$6+7*12)+6,INDEX('İzin Planı'!$J$6:$J$35,18-5)&gt;=('Özet'!$C$6+7*12)),AND(N(INDEX('İzin Planı'!$L$6:$L$35,18-5))&gt;0,INDEX('İzin Planı'!$L$6:$L$35,18-5)&lt;=('Özet'!$C$6+7*12)+6,INDEX('İzin Planı'!$M$6:$M$35,18-5)&gt;=('Özet'!$C$6+7*12))),"İ",""))</f>
      </c>
      <c r="P18" s="13">
        <f>IF(INDEX('İzin Planı'!$C$6:$C$35,18-5)="","",IF(OR(AND(N(INDEX('İzin Planı'!$F$6:$F$35,18-5))&gt;0,INDEX('İzin Planı'!$F$6:$F$35,18-5)&lt;=('Özet'!$C$6+7*13)+6,INDEX('İzin Planı'!$G$6:$G$35,18-5)&gt;=('Özet'!$C$6+7*13)),AND(N(INDEX('İzin Planı'!$I$6:$I$35,18-5))&gt;0,INDEX('İzin Planı'!$I$6:$I$35,18-5)&lt;=('Özet'!$C$6+7*13)+6,INDEX('İzin Planı'!$J$6:$J$35,18-5)&gt;=('Özet'!$C$6+7*13)),AND(N(INDEX('İzin Planı'!$L$6:$L$35,18-5))&gt;0,INDEX('İzin Planı'!$L$6:$L$35,18-5)&lt;=('Özet'!$C$6+7*13)+6,INDEX('İzin Planı'!$M$6:$M$35,18-5)&gt;=('Özet'!$C$6+7*13))),"İ",""))</f>
      </c>
      <c r="Q18" s="13">
        <f>IF(INDEX('İzin Planı'!$C$6:$C$35,18-5)="","",IF(OR(AND(N(INDEX('İzin Planı'!$F$6:$F$35,18-5))&gt;0,INDEX('İzin Planı'!$F$6:$F$35,18-5)&lt;=('Özet'!$C$6+7*14)+6,INDEX('İzin Planı'!$G$6:$G$35,18-5)&gt;=('Özet'!$C$6+7*14)),AND(N(INDEX('İzin Planı'!$I$6:$I$35,18-5))&gt;0,INDEX('İzin Planı'!$I$6:$I$35,18-5)&lt;=('Özet'!$C$6+7*14)+6,INDEX('İzin Planı'!$J$6:$J$35,18-5)&gt;=('Özet'!$C$6+7*14)),AND(N(INDEX('İzin Planı'!$L$6:$L$35,18-5))&gt;0,INDEX('İzin Planı'!$L$6:$L$35,18-5)&lt;=('Özet'!$C$6+7*14)+6,INDEX('İzin Planı'!$M$6:$M$35,18-5)&gt;=('Özet'!$C$6+7*14))),"İ",""))</f>
      </c>
      <c r="R18" s="13">
        <f>IF(INDEX('İzin Planı'!$C$6:$C$35,18-5)="","",IF(OR(AND(N(INDEX('İzin Planı'!$F$6:$F$35,18-5))&gt;0,INDEX('İzin Planı'!$F$6:$F$35,18-5)&lt;=('Özet'!$C$6+7*15)+6,INDEX('İzin Planı'!$G$6:$G$35,18-5)&gt;=('Özet'!$C$6+7*15)),AND(N(INDEX('İzin Planı'!$I$6:$I$35,18-5))&gt;0,INDEX('İzin Planı'!$I$6:$I$35,18-5)&lt;=('Özet'!$C$6+7*15)+6,INDEX('İzin Planı'!$J$6:$J$35,18-5)&gt;=('Özet'!$C$6+7*15)),AND(N(INDEX('İzin Planı'!$L$6:$L$35,18-5))&gt;0,INDEX('İzin Planı'!$L$6:$L$35,18-5)&lt;=('Özet'!$C$6+7*15)+6,INDEX('İzin Planı'!$M$6:$M$35,18-5)&gt;=('Özet'!$C$6+7*15))),"İ",""))</f>
      </c>
      <c r="S18" s="13">
        <f>IF(INDEX('İzin Planı'!$C$6:$C$35,18-5)="","",IF(OR(AND(N(INDEX('İzin Planı'!$F$6:$F$35,18-5))&gt;0,INDEX('İzin Planı'!$F$6:$F$35,18-5)&lt;=('Özet'!$C$6+7*16)+6,INDEX('İzin Planı'!$G$6:$G$35,18-5)&gt;=('Özet'!$C$6+7*16)),AND(N(INDEX('İzin Planı'!$I$6:$I$35,18-5))&gt;0,INDEX('İzin Planı'!$I$6:$I$35,18-5)&lt;=('Özet'!$C$6+7*16)+6,INDEX('İzin Planı'!$J$6:$J$35,18-5)&gt;=('Özet'!$C$6+7*16)),AND(N(INDEX('İzin Planı'!$L$6:$L$35,18-5))&gt;0,INDEX('İzin Planı'!$L$6:$L$35,18-5)&lt;=('Özet'!$C$6+7*16)+6,INDEX('İzin Planı'!$M$6:$M$35,18-5)&gt;=('Özet'!$C$6+7*16))),"İ",""))</f>
      </c>
      <c r="T18" s="13">
        <f>IF(INDEX('İzin Planı'!$C$6:$C$35,18-5)="","",IF(OR(AND(N(INDEX('İzin Planı'!$F$6:$F$35,18-5))&gt;0,INDEX('İzin Planı'!$F$6:$F$35,18-5)&lt;=('Özet'!$C$6+7*17)+6,INDEX('İzin Planı'!$G$6:$G$35,18-5)&gt;=('Özet'!$C$6+7*17)),AND(N(INDEX('İzin Planı'!$I$6:$I$35,18-5))&gt;0,INDEX('İzin Planı'!$I$6:$I$35,18-5)&lt;=('Özet'!$C$6+7*17)+6,INDEX('İzin Planı'!$J$6:$J$35,18-5)&gt;=('Özet'!$C$6+7*17)),AND(N(INDEX('İzin Planı'!$L$6:$L$35,18-5))&gt;0,INDEX('İzin Planı'!$L$6:$L$35,18-5)&lt;=('Özet'!$C$6+7*17)+6,INDEX('İzin Planı'!$M$6:$M$35,18-5)&gt;=('Özet'!$C$6+7*17))),"İ",""))</f>
      </c>
      <c r="U18" s="13">
        <f>IF(INDEX('İzin Planı'!$C$6:$C$35,18-5)="","",IF(OR(AND(N(INDEX('İzin Planı'!$F$6:$F$35,18-5))&gt;0,INDEX('İzin Planı'!$F$6:$F$35,18-5)&lt;=('Özet'!$C$6+7*18)+6,INDEX('İzin Planı'!$G$6:$G$35,18-5)&gt;=('Özet'!$C$6+7*18)),AND(N(INDEX('İzin Planı'!$I$6:$I$35,18-5))&gt;0,INDEX('İzin Planı'!$I$6:$I$35,18-5)&lt;=('Özet'!$C$6+7*18)+6,INDEX('İzin Planı'!$J$6:$J$35,18-5)&gt;=('Özet'!$C$6+7*18)),AND(N(INDEX('İzin Planı'!$L$6:$L$35,18-5))&gt;0,INDEX('İzin Planı'!$L$6:$L$35,18-5)&lt;=('Özet'!$C$6+7*18)+6,INDEX('İzin Planı'!$M$6:$M$35,18-5)&gt;=('Özet'!$C$6+7*18))),"İ",""))</f>
      </c>
      <c r="V18" s="13">
        <f>IF(INDEX('İzin Planı'!$C$6:$C$35,18-5)="","",IF(OR(AND(N(INDEX('İzin Planı'!$F$6:$F$35,18-5))&gt;0,INDEX('İzin Planı'!$F$6:$F$35,18-5)&lt;=('Özet'!$C$6+7*19)+6,INDEX('İzin Planı'!$G$6:$G$35,18-5)&gt;=('Özet'!$C$6+7*19)),AND(N(INDEX('İzin Planı'!$I$6:$I$35,18-5))&gt;0,INDEX('İzin Planı'!$I$6:$I$35,18-5)&lt;=('Özet'!$C$6+7*19)+6,INDEX('İzin Planı'!$J$6:$J$35,18-5)&gt;=('Özet'!$C$6+7*19)),AND(N(INDEX('İzin Planı'!$L$6:$L$35,18-5))&gt;0,INDEX('İzin Planı'!$L$6:$L$35,18-5)&lt;=('Özet'!$C$6+7*19)+6,INDEX('İzin Planı'!$M$6:$M$35,18-5)&gt;=('Özet'!$C$6+7*19))),"İ",""))</f>
      </c>
      <c r="W18" s="13">
        <f>IF(INDEX('İzin Planı'!$C$6:$C$35,18-5)="","",IF(OR(AND(N(INDEX('İzin Planı'!$F$6:$F$35,18-5))&gt;0,INDEX('İzin Planı'!$F$6:$F$35,18-5)&lt;=('Özet'!$C$6+7*20)+6,INDEX('İzin Planı'!$G$6:$G$35,18-5)&gt;=('Özet'!$C$6+7*20)),AND(N(INDEX('İzin Planı'!$I$6:$I$35,18-5))&gt;0,INDEX('İzin Planı'!$I$6:$I$35,18-5)&lt;=('Özet'!$C$6+7*20)+6,INDEX('İzin Planı'!$J$6:$J$35,18-5)&gt;=('Özet'!$C$6+7*20)),AND(N(INDEX('İzin Planı'!$L$6:$L$35,18-5))&gt;0,INDEX('İzin Planı'!$L$6:$L$35,18-5)&lt;=('Özet'!$C$6+7*20)+6,INDEX('İzin Planı'!$M$6:$M$35,18-5)&gt;=('Özet'!$C$6+7*20))),"İ",""))</f>
      </c>
      <c r="X18" s="13">
        <f>IF(INDEX('İzin Planı'!$C$6:$C$35,18-5)="","",IF(OR(AND(N(INDEX('İzin Planı'!$F$6:$F$35,18-5))&gt;0,INDEX('İzin Planı'!$F$6:$F$35,18-5)&lt;=('Özet'!$C$6+7*21)+6,INDEX('İzin Planı'!$G$6:$G$35,18-5)&gt;=('Özet'!$C$6+7*21)),AND(N(INDEX('İzin Planı'!$I$6:$I$35,18-5))&gt;0,INDEX('İzin Planı'!$I$6:$I$35,18-5)&lt;=('Özet'!$C$6+7*21)+6,INDEX('İzin Planı'!$J$6:$J$35,18-5)&gt;=('Özet'!$C$6+7*21)),AND(N(INDEX('İzin Planı'!$L$6:$L$35,18-5))&gt;0,INDEX('İzin Planı'!$L$6:$L$35,18-5)&lt;=('Özet'!$C$6+7*21)+6,INDEX('İzin Planı'!$M$6:$M$35,18-5)&gt;=('Özet'!$C$6+7*21))),"İ",""))</f>
      </c>
      <c r="Y18" s="13">
        <f>IF(INDEX('İzin Planı'!$C$6:$C$35,18-5)="","",IF(OR(AND(N(INDEX('İzin Planı'!$F$6:$F$35,18-5))&gt;0,INDEX('İzin Planı'!$F$6:$F$35,18-5)&lt;=('Özet'!$C$6+7*22)+6,INDEX('İzin Planı'!$G$6:$G$35,18-5)&gt;=('Özet'!$C$6+7*22)),AND(N(INDEX('İzin Planı'!$I$6:$I$35,18-5))&gt;0,INDEX('İzin Planı'!$I$6:$I$35,18-5)&lt;=('Özet'!$C$6+7*22)+6,INDEX('İzin Planı'!$J$6:$J$35,18-5)&gt;=('Özet'!$C$6+7*22)),AND(N(INDEX('İzin Planı'!$L$6:$L$35,18-5))&gt;0,INDEX('İzin Planı'!$L$6:$L$35,18-5)&lt;=('Özet'!$C$6+7*22)+6,INDEX('İzin Planı'!$M$6:$M$35,18-5)&gt;=('Özet'!$C$6+7*22))),"İ",""))</f>
      </c>
      <c r="Z18" s="13">
        <f>IF(INDEX('İzin Planı'!$C$6:$C$35,18-5)="","",IF(OR(AND(N(INDEX('İzin Planı'!$F$6:$F$35,18-5))&gt;0,INDEX('İzin Planı'!$F$6:$F$35,18-5)&lt;=('Özet'!$C$6+7*23)+6,INDEX('İzin Planı'!$G$6:$G$35,18-5)&gt;=('Özet'!$C$6+7*23)),AND(N(INDEX('İzin Planı'!$I$6:$I$35,18-5))&gt;0,INDEX('İzin Planı'!$I$6:$I$35,18-5)&lt;=('Özet'!$C$6+7*23)+6,INDEX('İzin Planı'!$J$6:$J$35,18-5)&gt;=('Özet'!$C$6+7*23)),AND(N(INDEX('İzin Planı'!$L$6:$L$35,18-5))&gt;0,INDEX('İzin Planı'!$L$6:$L$35,18-5)&lt;=('Özet'!$C$6+7*23)+6,INDEX('İzin Planı'!$M$6:$M$35,18-5)&gt;=('Özet'!$C$6+7*23))),"İ",""))</f>
      </c>
      <c r="AA18" s="13">
        <f>IF(INDEX('İzin Planı'!$C$6:$C$35,18-5)="","",IF(OR(AND(N(INDEX('İzin Planı'!$F$6:$F$35,18-5))&gt;0,INDEX('İzin Planı'!$F$6:$F$35,18-5)&lt;=('Özet'!$C$6+7*24)+6,INDEX('İzin Planı'!$G$6:$G$35,18-5)&gt;=('Özet'!$C$6+7*24)),AND(N(INDEX('İzin Planı'!$I$6:$I$35,18-5))&gt;0,INDEX('İzin Planı'!$I$6:$I$35,18-5)&lt;=('Özet'!$C$6+7*24)+6,INDEX('İzin Planı'!$J$6:$J$35,18-5)&gt;=('Özet'!$C$6+7*24)),AND(N(INDEX('İzin Planı'!$L$6:$L$35,18-5))&gt;0,INDEX('İzin Planı'!$L$6:$L$35,18-5)&lt;=('Özet'!$C$6+7*24)+6,INDEX('İzin Planı'!$M$6:$M$35,18-5)&gt;=('Özet'!$C$6+7*24))),"İ",""))</f>
      </c>
      <c r="AB18" s="13">
        <f>IF(INDEX('İzin Planı'!$C$6:$C$35,18-5)="","",IF(OR(AND(N(INDEX('İzin Planı'!$F$6:$F$35,18-5))&gt;0,INDEX('İzin Planı'!$F$6:$F$35,18-5)&lt;=('Özet'!$C$6+7*25)+6,INDEX('İzin Planı'!$G$6:$G$35,18-5)&gt;=('Özet'!$C$6+7*25)),AND(N(INDEX('İzin Planı'!$I$6:$I$35,18-5))&gt;0,INDEX('İzin Planı'!$I$6:$I$35,18-5)&lt;=('Özet'!$C$6+7*25)+6,INDEX('İzin Planı'!$J$6:$J$35,18-5)&gt;=('Özet'!$C$6+7*25)),AND(N(INDEX('İzin Planı'!$L$6:$L$35,18-5))&gt;0,INDEX('İzin Planı'!$L$6:$L$35,18-5)&lt;=('Özet'!$C$6+7*25)+6,INDEX('İzin Planı'!$M$6:$M$35,18-5)&gt;=('Özet'!$C$6+7*25))),"İ",""))</f>
      </c>
      <c r="AC18" s="13">
        <f>IF(INDEX('İzin Planı'!$C$6:$C$35,18-5)="","",IF(OR(AND(N(INDEX('İzin Planı'!$F$6:$F$35,18-5))&gt;0,INDEX('İzin Planı'!$F$6:$F$35,18-5)&lt;=('Özet'!$C$6+7*26)+6,INDEX('İzin Planı'!$G$6:$G$35,18-5)&gt;=('Özet'!$C$6+7*26)),AND(N(INDEX('İzin Planı'!$I$6:$I$35,18-5))&gt;0,INDEX('İzin Planı'!$I$6:$I$35,18-5)&lt;=('Özet'!$C$6+7*26)+6,INDEX('İzin Planı'!$J$6:$J$35,18-5)&gt;=('Özet'!$C$6+7*26)),AND(N(INDEX('İzin Planı'!$L$6:$L$35,18-5))&gt;0,INDEX('İzin Planı'!$L$6:$L$35,18-5)&lt;=('Özet'!$C$6+7*26)+6,INDEX('İzin Planı'!$M$6:$M$35,18-5)&gt;=('Özet'!$C$6+7*26))),"İ",""))</f>
      </c>
      <c r="AD18" s="13">
        <f>IF(INDEX('İzin Planı'!$C$6:$C$35,18-5)="","",IF(OR(AND(N(INDEX('İzin Planı'!$F$6:$F$35,18-5))&gt;0,INDEX('İzin Planı'!$F$6:$F$35,18-5)&lt;=('Özet'!$C$6+7*27)+6,INDEX('İzin Planı'!$G$6:$G$35,18-5)&gt;=('Özet'!$C$6+7*27)),AND(N(INDEX('İzin Planı'!$I$6:$I$35,18-5))&gt;0,INDEX('İzin Planı'!$I$6:$I$35,18-5)&lt;=('Özet'!$C$6+7*27)+6,INDEX('İzin Planı'!$J$6:$J$35,18-5)&gt;=('Özet'!$C$6+7*27)),AND(N(INDEX('İzin Planı'!$L$6:$L$35,18-5))&gt;0,INDEX('İzin Planı'!$L$6:$L$35,18-5)&lt;=('Özet'!$C$6+7*27)+6,INDEX('İzin Planı'!$M$6:$M$35,18-5)&gt;=('Özet'!$C$6+7*27))),"İ",""))</f>
      </c>
      <c r="AE18" s="13">
        <f>IF(INDEX('İzin Planı'!$C$6:$C$35,18-5)="","",IF(OR(AND(N(INDEX('İzin Planı'!$F$6:$F$35,18-5))&gt;0,INDEX('İzin Planı'!$F$6:$F$35,18-5)&lt;=('Özet'!$C$6+7*28)+6,INDEX('İzin Planı'!$G$6:$G$35,18-5)&gt;=('Özet'!$C$6+7*28)),AND(N(INDEX('İzin Planı'!$I$6:$I$35,18-5))&gt;0,INDEX('İzin Planı'!$I$6:$I$35,18-5)&lt;=('Özet'!$C$6+7*28)+6,INDEX('İzin Planı'!$J$6:$J$35,18-5)&gt;=('Özet'!$C$6+7*28)),AND(N(INDEX('İzin Planı'!$L$6:$L$35,18-5))&gt;0,INDEX('İzin Planı'!$L$6:$L$35,18-5)&lt;=('Özet'!$C$6+7*28)+6,INDEX('İzin Planı'!$M$6:$M$35,18-5)&gt;=('Özet'!$C$6+7*28))),"İ",""))</f>
      </c>
      <c r="AF18" s="13">
        <f>IF(INDEX('İzin Planı'!$C$6:$C$35,18-5)="","",IF(OR(AND(N(INDEX('İzin Planı'!$F$6:$F$35,18-5))&gt;0,INDEX('İzin Planı'!$F$6:$F$35,18-5)&lt;=('Özet'!$C$6+7*29)+6,INDEX('İzin Planı'!$G$6:$G$35,18-5)&gt;=('Özet'!$C$6+7*29)),AND(N(INDEX('İzin Planı'!$I$6:$I$35,18-5))&gt;0,INDEX('İzin Planı'!$I$6:$I$35,18-5)&lt;=('Özet'!$C$6+7*29)+6,INDEX('İzin Planı'!$J$6:$J$35,18-5)&gt;=('Özet'!$C$6+7*29)),AND(N(INDEX('İzin Planı'!$L$6:$L$35,18-5))&gt;0,INDEX('İzin Planı'!$L$6:$L$35,18-5)&lt;=('Özet'!$C$6+7*29)+6,INDEX('İzin Planı'!$M$6:$M$35,18-5)&gt;=('Özet'!$C$6+7*29))),"İ",""))</f>
      </c>
      <c r="AG18" s="13">
        <f>IF(INDEX('İzin Planı'!$C$6:$C$35,18-5)="","",IF(OR(AND(N(INDEX('İzin Planı'!$F$6:$F$35,18-5))&gt;0,INDEX('İzin Planı'!$F$6:$F$35,18-5)&lt;=('Özet'!$C$6+7*30)+6,INDEX('İzin Planı'!$G$6:$G$35,18-5)&gt;=('Özet'!$C$6+7*30)),AND(N(INDEX('İzin Planı'!$I$6:$I$35,18-5))&gt;0,INDEX('İzin Planı'!$I$6:$I$35,18-5)&lt;=('Özet'!$C$6+7*30)+6,INDEX('İzin Planı'!$J$6:$J$35,18-5)&gt;=('Özet'!$C$6+7*30)),AND(N(INDEX('İzin Planı'!$L$6:$L$35,18-5))&gt;0,INDEX('İzin Planı'!$L$6:$L$35,18-5)&lt;=('Özet'!$C$6+7*30)+6,INDEX('İzin Planı'!$M$6:$M$35,18-5)&gt;=('Özet'!$C$6+7*30))),"İ",""))</f>
      </c>
      <c r="AH18" s="13">
        <f>IF(INDEX('İzin Planı'!$C$6:$C$35,18-5)="","",IF(OR(AND(N(INDEX('İzin Planı'!$F$6:$F$35,18-5))&gt;0,INDEX('İzin Planı'!$F$6:$F$35,18-5)&lt;=('Özet'!$C$6+7*31)+6,INDEX('İzin Planı'!$G$6:$G$35,18-5)&gt;=('Özet'!$C$6+7*31)),AND(N(INDEX('İzin Planı'!$I$6:$I$35,18-5))&gt;0,INDEX('İzin Planı'!$I$6:$I$35,18-5)&lt;=('Özet'!$C$6+7*31)+6,INDEX('İzin Planı'!$J$6:$J$35,18-5)&gt;=('Özet'!$C$6+7*31)),AND(N(INDEX('İzin Planı'!$L$6:$L$35,18-5))&gt;0,INDEX('İzin Planı'!$L$6:$L$35,18-5)&lt;=('Özet'!$C$6+7*31)+6,INDEX('İzin Planı'!$M$6:$M$35,18-5)&gt;=('Özet'!$C$6+7*31))),"İ",""))</f>
      </c>
      <c r="AI18" s="13">
        <f>IF(INDEX('İzin Planı'!$C$6:$C$35,18-5)="","",IF(OR(AND(N(INDEX('İzin Planı'!$F$6:$F$35,18-5))&gt;0,INDEX('İzin Planı'!$F$6:$F$35,18-5)&lt;=('Özet'!$C$6+7*32)+6,INDEX('İzin Planı'!$G$6:$G$35,18-5)&gt;=('Özet'!$C$6+7*32)),AND(N(INDEX('İzin Planı'!$I$6:$I$35,18-5))&gt;0,INDEX('İzin Planı'!$I$6:$I$35,18-5)&lt;=('Özet'!$C$6+7*32)+6,INDEX('İzin Planı'!$J$6:$J$35,18-5)&gt;=('Özet'!$C$6+7*32)),AND(N(INDEX('İzin Planı'!$L$6:$L$35,18-5))&gt;0,INDEX('İzin Planı'!$L$6:$L$35,18-5)&lt;=('Özet'!$C$6+7*32)+6,INDEX('İzin Planı'!$M$6:$M$35,18-5)&gt;=('Özet'!$C$6+7*32))),"İ",""))</f>
      </c>
      <c r="AJ18" s="13">
        <f>IF(INDEX('İzin Planı'!$C$6:$C$35,18-5)="","",IF(OR(AND(N(INDEX('İzin Planı'!$F$6:$F$35,18-5))&gt;0,INDEX('İzin Planı'!$F$6:$F$35,18-5)&lt;=('Özet'!$C$6+7*33)+6,INDEX('İzin Planı'!$G$6:$G$35,18-5)&gt;=('Özet'!$C$6+7*33)),AND(N(INDEX('İzin Planı'!$I$6:$I$35,18-5))&gt;0,INDEX('İzin Planı'!$I$6:$I$35,18-5)&lt;=('Özet'!$C$6+7*33)+6,INDEX('İzin Planı'!$J$6:$J$35,18-5)&gt;=('Özet'!$C$6+7*33)),AND(N(INDEX('İzin Planı'!$L$6:$L$35,18-5))&gt;0,INDEX('İzin Planı'!$L$6:$L$35,18-5)&lt;=('Özet'!$C$6+7*33)+6,INDEX('İzin Planı'!$M$6:$M$35,18-5)&gt;=('Özet'!$C$6+7*33))),"İ",""))</f>
      </c>
      <c r="AK18" s="13">
        <f>IF(INDEX('İzin Planı'!$C$6:$C$35,18-5)="","",IF(OR(AND(N(INDEX('İzin Planı'!$F$6:$F$35,18-5))&gt;0,INDEX('İzin Planı'!$F$6:$F$35,18-5)&lt;=('Özet'!$C$6+7*34)+6,INDEX('İzin Planı'!$G$6:$G$35,18-5)&gt;=('Özet'!$C$6+7*34)),AND(N(INDEX('İzin Planı'!$I$6:$I$35,18-5))&gt;0,INDEX('İzin Planı'!$I$6:$I$35,18-5)&lt;=('Özet'!$C$6+7*34)+6,INDEX('İzin Planı'!$J$6:$J$35,18-5)&gt;=('Özet'!$C$6+7*34)),AND(N(INDEX('İzin Planı'!$L$6:$L$35,18-5))&gt;0,INDEX('İzin Planı'!$L$6:$L$35,18-5)&lt;=('Özet'!$C$6+7*34)+6,INDEX('İzin Planı'!$M$6:$M$35,18-5)&gt;=('Özet'!$C$6+7*34))),"İ",""))</f>
      </c>
      <c r="AL18" s="13">
        <f>IF(INDEX('İzin Planı'!$C$6:$C$35,18-5)="","",IF(OR(AND(N(INDEX('İzin Planı'!$F$6:$F$35,18-5))&gt;0,INDEX('İzin Planı'!$F$6:$F$35,18-5)&lt;=('Özet'!$C$6+7*35)+6,INDEX('İzin Planı'!$G$6:$G$35,18-5)&gt;=('Özet'!$C$6+7*35)),AND(N(INDEX('İzin Planı'!$I$6:$I$35,18-5))&gt;0,INDEX('İzin Planı'!$I$6:$I$35,18-5)&lt;=('Özet'!$C$6+7*35)+6,INDEX('İzin Planı'!$J$6:$J$35,18-5)&gt;=('Özet'!$C$6+7*35)),AND(N(INDEX('İzin Planı'!$L$6:$L$35,18-5))&gt;0,INDEX('İzin Planı'!$L$6:$L$35,18-5)&lt;=('Özet'!$C$6+7*35)+6,INDEX('İzin Planı'!$M$6:$M$35,18-5)&gt;=('Özet'!$C$6+7*35))),"İ",""))</f>
      </c>
      <c r="AM18" s="13">
        <f>IF(INDEX('İzin Planı'!$C$6:$C$35,18-5)="","",IF(OR(AND(N(INDEX('İzin Planı'!$F$6:$F$35,18-5))&gt;0,INDEX('İzin Planı'!$F$6:$F$35,18-5)&lt;=('Özet'!$C$6+7*36)+6,INDEX('İzin Planı'!$G$6:$G$35,18-5)&gt;=('Özet'!$C$6+7*36)),AND(N(INDEX('İzin Planı'!$I$6:$I$35,18-5))&gt;0,INDEX('İzin Planı'!$I$6:$I$35,18-5)&lt;=('Özet'!$C$6+7*36)+6,INDEX('İzin Planı'!$J$6:$J$35,18-5)&gt;=('Özet'!$C$6+7*36)),AND(N(INDEX('İzin Planı'!$L$6:$L$35,18-5))&gt;0,INDEX('İzin Planı'!$L$6:$L$35,18-5)&lt;=('Özet'!$C$6+7*36)+6,INDEX('İzin Planı'!$M$6:$M$35,18-5)&gt;=('Özet'!$C$6+7*36))),"İ",""))</f>
      </c>
      <c r="AN18" s="13">
        <f>IF(INDEX('İzin Planı'!$C$6:$C$35,18-5)="","",IF(OR(AND(N(INDEX('İzin Planı'!$F$6:$F$35,18-5))&gt;0,INDEX('İzin Planı'!$F$6:$F$35,18-5)&lt;=('Özet'!$C$6+7*37)+6,INDEX('İzin Planı'!$G$6:$G$35,18-5)&gt;=('Özet'!$C$6+7*37)),AND(N(INDEX('İzin Planı'!$I$6:$I$35,18-5))&gt;0,INDEX('İzin Planı'!$I$6:$I$35,18-5)&lt;=('Özet'!$C$6+7*37)+6,INDEX('İzin Planı'!$J$6:$J$35,18-5)&gt;=('Özet'!$C$6+7*37)),AND(N(INDEX('İzin Planı'!$L$6:$L$35,18-5))&gt;0,INDEX('İzin Planı'!$L$6:$L$35,18-5)&lt;=('Özet'!$C$6+7*37)+6,INDEX('İzin Planı'!$M$6:$M$35,18-5)&gt;=('Özet'!$C$6+7*37))),"İ",""))</f>
      </c>
      <c r="AO18" s="13">
        <f>IF(INDEX('İzin Planı'!$C$6:$C$35,18-5)="","",IF(OR(AND(N(INDEX('İzin Planı'!$F$6:$F$35,18-5))&gt;0,INDEX('İzin Planı'!$F$6:$F$35,18-5)&lt;=('Özet'!$C$6+7*38)+6,INDEX('İzin Planı'!$G$6:$G$35,18-5)&gt;=('Özet'!$C$6+7*38)),AND(N(INDEX('İzin Planı'!$I$6:$I$35,18-5))&gt;0,INDEX('İzin Planı'!$I$6:$I$35,18-5)&lt;=('Özet'!$C$6+7*38)+6,INDEX('İzin Planı'!$J$6:$J$35,18-5)&gt;=('Özet'!$C$6+7*38)),AND(N(INDEX('İzin Planı'!$L$6:$L$35,18-5))&gt;0,INDEX('İzin Planı'!$L$6:$L$35,18-5)&lt;=('Özet'!$C$6+7*38)+6,INDEX('İzin Planı'!$M$6:$M$35,18-5)&gt;=('Özet'!$C$6+7*38))),"İ",""))</f>
      </c>
      <c r="AP18" s="13">
        <f>IF(INDEX('İzin Planı'!$C$6:$C$35,18-5)="","",IF(OR(AND(N(INDEX('İzin Planı'!$F$6:$F$35,18-5))&gt;0,INDEX('İzin Planı'!$F$6:$F$35,18-5)&lt;=('Özet'!$C$6+7*39)+6,INDEX('İzin Planı'!$G$6:$G$35,18-5)&gt;=('Özet'!$C$6+7*39)),AND(N(INDEX('İzin Planı'!$I$6:$I$35,18-5))&gt;0,INDEX('İzin Planı'!$I$6:$I$35,18-5)&lt;=('Özet'!$C$6+7*39)+6,INDEX('İzin Planı'!$J$6:$J$35,18-5)&gt;=('Özet'!$C$6+7*39)),AND(N(INDEX('İzin Planı'!$L$6:$L$35,18-5))&gt;0,INDEX('İzin Planı'!$L$6:$L$35,18-5)&lt;=('Özet'!$C$6+7*39)+6,INDEX('İzin Planı'!$M$6:$M$35,18-5)&gt;=('Özet'!$C$6+7*39))),"İ",""))</f>
      </c>
      <c r="AQ18" s="13">
        <f>IF(INDEX('İzin Planı'!$C$6:$C$35,18-5)="","",IF(OR(AND(N(INDEX('İzin Planı'!$F$6:$F$35,18-5))&gt;0,INDEX('İzin Planı'!$F$6:$F$35,18-5)&lt;=('Özet'!$C$6+7*40)+6,INDEX('İzin Planı'!$G$6:$G$35,18-5)&gt;=('Özet'!$C$6+7*40)),AND(N(INDEX('İzin Planı'!$I$6:$I$35,18-5))&gt;0,INDEX('İzin Planı'!$I$6:$I$35,18-5)&lt;=('Özet'!$C$6+7*40)+6,INDEX('İzin Planı'!$J$6:$J$35,18-5)&gt;=('Özet'!$C$6+7*40)),AND(N(INDEX('İzin Planı'!$L$6:$L$35,18-5))&gt;0,INDEX('İzin Planı'!$L$6:$L$35,18-5)&lt;=('Özet'!$C$6+7*40)+6,INDEX('İzin Planı'!$M$6:$M$35,18-5)&gt;=('Özet'!$C$6+7*40))),"İ",""))</f>
      </c>
      <c r="AR18" s="13">
        <f>IF(INDEX('İzin Planı'!$C$6:$C$35,18-5)="","",IF(OR(AND(N(INDEX('İzin Planı'!$F$6:$F$35,18-5))&gt;0,INDEX('İzin Planı'!$F$6:$F$35,18-5)&lt;=('Özet'!$C$6+7*41)+6,INDEX('İzin Planı'!$G$6:$G$35,18-5)&gt;=('Özet'!$C$6+7*41)),AND(N(INDEX('İzin Planı'!$I$6:$I$35,18-5))&gt;0,INDEX('İzin Planı'!$I$6:$I$35,18-5)&lt;=('Özet'!$C$6+7*41)+6,INDEX('İzin Planı'!$J$6:$J$35,18-5)&gt;=('Özet'!$C$6+7*41)),AND(N(INDEX('İzin Planı'!$L$6:$L$35,18-5))&gt;0,INDEX('İzin Planı'!$L$6:$L$35,18-5)&lt;=('Özet'!$C$6+7*41)+6,INDEX('İzin Planı'!$M$6:$M$35,18-5)&gt;=('Özet'!$C$6+7*41))),"İ",""))</f>
      </c>
      <c r="AS18" s="13">
        <f>IF(INDEX('İzin Planı'!$C$6:$C$35,18-5)="","",IF(OR(AND(N(INDEX('İzin Planı'!$F$6:$F$35,18-5))&gt;0,INDEX('İzin Planı'!$F$6:$F$35,18-5)&lt;=('Özet'!$C$6+7*42)+6,INDEX('İzin Planı'!$G$6:$G$35,18-5)&gt;=('Özet'!$C$6+7*42)),AND(N(INDEX('İzin Planı'!$I$6:$I$35,18-5))&gt;0,INDEX('İzin Planı'!$I$6:$I$35,18-5)&lt;=('Özet'!$C$6+7*42)+6,INDEX('İzin Planı'!$J$6:$J$35,18-5)&gt;=('Özet'!$C$6+7*42)),AND(N(INDEX('İzin Planı'!$L$6:$L$35,18-5))&gt;0,INDEX('İzin Planı'!$L$6:$L$35,18-5)&lt;=('Özet'!$C$6+7*42)+6,INDEX('İzin Planı'!$M$6:$M$35,18-5)&gt;=('Özet'!$C$6+7*42))),"İ",""))</f>
      </c>
      <c r="AT18" s="13">
        <f>IF(INDEX('İzin Planı'!$C$6:$C$35,18-5)="","",IF(OR(AND(N(INDEX('İzin Planı'!$F$6:$F$35,18-5))&gt;0,INDEX('İzin Planı'!$F$6:$F$35,18-5)&lt;=('Özet'!$C$6+7*43)+6,INDEX('İzin Planı'!$G$6:$G$35,18-5)&gt;=('Özet'!$C$6+7*43)),AND(N(INDEX('İzin Planı'!$I$6:$I$35,18-5))&gt;0,INDEX('İzin Planı'!$I$6:$I$35,18-5)&lt;=('Özet'!$C$6+7*43)+6,INDEX('İzin Planı'!$J$6:$J$35,18-5)&gt;=('Özet'!$C$6+7*43)),AND(N(INDEX('İzin Planı'!$L$6:$L$35,18-5))&gt;0,INDEX('İzin Planı'!$L$6:$L$35,18-5)&lt;=('Özet'!$C$6+7*43)+6,INDEX('İzin Planı'!$M$6:$M$35,18-5)&gt;=('Özet'!$C$6+7*43))),"İ",""))</f>
      </c>
      <c r="AU18" s="13">
        <f>IF(INDEX('İzin Planı'!$C$6:$C$35,18-5)="","",IF(OR(AND(N(INDEX('İzin Planı'!$F$6:$F$35,18-5))&gt;0,INDEX('İzin Planı'!$F$6:$F$35,18-5)&lt;=('Özet'!$C$6+7*44)+6,INDEX('İzin Planı'!$G$6:$G$35,18-5)&gt;=('Özet'!$C$6+7*44)),AND(N(INDEX('İzin Planı'!$I$6:$I$35,18-5))&gt;0,INDEX('İzin Planı'!$I$6:$I$35,18-5)&lt;=('Özet'!$C$6+7*44)+6,INDEX('İzin Planı'!$J$6:$J$35,18-5)&gt;=('Özet'!$C$6+7*44)),AND(N(INDEX('İzin Planı'!$L$6:$L$35,18-5))&gt;0,INDEX('İzin Planı'!$L$6:$L$35,18-5)&lt;=('Özet'!$C$6+7*44)+6,INDEX('İzin Planı'!$M$6:$M$35,18-5)&gt;=('Özet'!$C$6+7*44))),"İ",""))</f>
      </c>
      <c r="AV18" s="13">
        <f>IF(INDEX('İzin Planı'!$C$6:$C$35,18-5)="","",IF(OR(AND(N(INDEX('İzin Planı'!$F$6:$F$35,18-5))&gt;0,INDEX('İzin Planı'!$F$6:$F$35,18-5)&lt;=('Özet'!$C$6+7*45)+6,INDEX('İzin Planı'!$G$6:$G$35,18-5)&gt;=('Özet'!$C$6+7*45)),AND(N(INDEX('İzin Planı'!$I$6:$I$35,18-5))&gt;0,INDEX('İzin Planı'!$I$6:$I$35,18-5)&lt;=('Özet'!$C$6+7*45)+6,INDEX('İzin Planı'!$J$6:$J$35,18-5)&gt;=('Özet'!$C$6+7*45)),AND(N(INDEX('İzin Planı'!$L$6:$L$35,18-5))&gt;0,INDEX('İzin Planı'!$L$6:$L$35,18-5)&lt;=('Özet'!$C$6+7*45)+6,INDEX('İzin Planı'!$M$6:$M$35,18-5)&gt;=('Özet'!$C$6+7*45))),"İ",""))</f>
      </c>
      <c r="AW18" s="13">
        <f>IF(INDEX('İzin Planı'!$C$6:$C$35,18-5)="","",IF(OR(AND(N(INDEX('İzin Planı'!$F$6:$F$35,18-5))&gt;0,INDEX('İzin Planı'!$F$6:$F$35,18-5)&lt;=('Özet'!$C$6+7*46)+6,INDEX('İzin Planı'!$G$6:$G$35,18-5)&gt;=('Özet'!$C$6+7*46)),AND(N(INDEX('İzin Planı'!$I$6:$I$35,18-5))&gt;0,INDEX('İzin Planı'!$I$6:$I$35,18-5)&lt;=('Özet'!$C$6+7*46)+6,INDEX('İzin Planı'!$J$6:$J$35,18-5)&gt;=('Özet'!$C$6+7*46)),AND(N(INDEX('İzin Planı'!$L$6:$L$35,18-5))&gt;0,INDEX('İzin Planı'!$L$6:$L$35,18-5)&lt;=('Özet'!$C$6+7*46)+6,INDEX('İzin Planı'!$M$6:$M$35,18-5)&gt;=('Özet'!$C$6+7*46))),"İ",""))</f>
      </c>
      <c r="AX18" s="13">
        <f>IF(INDEX('İzin Planı'!$C$6:$C$35,18-5)="","",IF(OR(AND(N(INDEX('İzin Planı'!$F$6:$F$35,18-5))&gt;0,INDEX('İzin Planı'!$F$6:$F$35,18-5)&lt;=('Özet'!$C$6+7*47)+6,INDEX('İzin Planı'!$G$6:$G$35,18-5)&gt;=('Özet'!$C$6+7*47)),AND(N(INDEX('İzin Planı'!$I$6:$I$35,18-5))&gt;0,INDEX('İzin Planı'!$I$6:$I$35,18-5)&lt;=('Özet'!$C$6+7*47)+6,INDEX('İzin Planı'!$J$6:$J$35,18-5)&gt;=('Özet'!$C$6+7*47)),AND(N(INDEX('İzin Planı'!$L$6:$L$35,18-5))&gt;0,INDEX('İzin Planı'!$L$6:$L$35,18-5)&lt;=('Özet'!$C$6+7*47)+6,INDEX('İzin Planı'!$M$6:$M$35,18-5)&gt;=('Özet'!$C$6+7*47))),"İ",""))</f>
      </c>
      <c r="AY18" s="13">
        <f>IF(INDEX('İzin Planı'!$C$6:$C$35,18-5)="","",IF(OR(AND(N(INDEX('İzin Planı'!$F$6:$F$35,18-5))&gt;0,INDEX('İzin Planı'!$F$6:$F$35,18-5)&lt;=('Özet'!$C$6+7*48)+6,INDEX('İzin Planı'!$G$6:$G$35,18-5)&gt;=('Özet'!$C$6+7*48)),AND(N(INDEX('İzin Planı'!$I$6:$I$35,18-5))&gt;0,INDEX('İzin Planı'!$I$6:$I$35,18-5)&lt;=('Özet'!$C$6+7*48)+6,INDEX('İzin Planı'!$J$6:$J$35,18-5)&gt;=('Özet'!$C$6+7*48)),AND(N(INDEX('İzin Planı'!$L$6:$L$35,18-5))&gt;0,INDEX('İzin Planı'!$L$6:$L$35,18-5)&lt;=('Özet'!$C$6+7*48)+6,INDEX('İzin Planı'!$M$6:$M$35,18-5)&gt;=('Özet'!$C$6+7*48))),"İ",""))</f>
      </c>
      <c r="AZ18" s="13">
        <f>IF(INDEX('İzin Planı'!$C$6:$C$35,18-5)="","",IF(OR(AND(N(INDEX('İzin Planı'!$F$6:$F$35,18-5))&gt;0,INDEX('İzin Planı'!$F$6:$F$35,18-5)&lt;=('Özet'!$C$6+7*49)+6,INDEX('İzin Planı'!$G$6:$G$35,18-5)&gt;=('Özet'!$C$6+7*49)),AND(N(INDEX('İzin Planı'!$I$6:$I$35,18-5))&gt;0,INDEX('İzin Planı'!$I$6:$I$35,18-5)&lt;=('Özet'!$C$6+7*49)+6,INDEX('İzin Planı'!$J$6:$J$35,18-5)&gt;=('Özet'!$C$6+7*49)),AND(N(INDEX('İzin Planı'!$L$6:$L$35,18-5))&gt;0,INDEX('İzin Planı'!$L$6:$L$35,18-5)&lt;=('Özet'!$C$6+7*49)+6,INDEX('İzin Planı'!$M$6:$M$35,18-5)&gt;=('Özet'!$C$6+7*49))),"İ",""))</f>
      </c>
      <c r="BA18" s="13">
        <f>IF(INDEX('İzin Planı'!$C$6:$C$35,18-5)="","",IF(OR(AND(N(INDEX('İzin Planı'!$F$6:$F$35,18-5))&gt;0,INDEX('İzin Planı'!$F$6:$F$35,18-5)&lt;=('Özet'!$C$6+7*50)+6,INDEX('İzin Planı'!$G$6:$G$35,18-5)&gt;=('Özet'!$C$6+7*50)),AND(N(INDEX('İzin Planı'!$I$6:$I$35,18-5))&gt;0,INDEX('İzin Planı'!$I$6:$I$35,18-5)&lt;=('Özet'!$C$6+7*50)+6,INDEX('İzin Planı'!$J$6:$J$35,18-5)&gt;=('Özet'!$C$6+7*50)),AND(N(INDEX('İzin Planı'!$L$6:$L$35,18-5))&gt;0,INDEX('İzin Planı'!$L$6:$L$35,18-5)&lt;=('Özet'!$C$6+7*50)+6,INDEX('İzin Planı'!$M$6:$M$35,18-5)&gt;=('Özet'!$C$6+7*50))),"İ",""))</f>
      </c>
      <c r="BB18" s="13">
        <f>IF(INDEX('İzin Planı'!$C$6:$C$35,18-5)="","",IF(OR(AND(N(INDEX('İzin Planı'!$F$6:$F$35,18-5))&gt;0,INDEX('İzin Planı'!$F$6:$F$35,18-5)&lt;=('Özet'!$C$6+7*51)+6,INDEX('İzin Planı'!$G$6:$G$35,18-5)&gt;=('Özet'!$C$6+7*51)),AND(N(INDEX('İzin Planı'!$I$6:$I$35,18-5))&gt;0,INDEX('İzin Planı'!$I$6:$I$35,18-5)&lt;=('Özet'!$C$6+7*51)+6,INDEX('İzin Planı'!$J$6:$J$35,18-5)&gt;=('Özet'!$C$6+7*51)),AND(N(INDEX('İzin Planı'!$L$6:$L$35,18-5))&gt;0,INDEX('İzin Planı'!$L$6:$L$35,18-5)&lt;=('Özet'!$C$6+7*51)+6,INDEX('İzin Planı'!$M$6:$M$35,18-5)&gt;=('Özet'!$C$6+7*51))),"İ",""))</f>
      </c>
      <c r="BC18" s="13">
        <f>IF(INDEX('İzin Planı'!$C$6:$C$35,18-5)="","",IF(OR(AND(N(INDEX('İzin Planı'!$F$6:$F$35,18-5))&gt;0,INDEX('İzin Planı'!$F$6:$F$35,18-5)&lt;=('Özet'!$C$6+7*52)+6,INDEX('İzin Planı'!$G$6:$G$35,18-5)&gt;=('Özet'!$C$6+7*52)),AND(N(INDEX('İzin Planı'!$I$6:$I$35,18-5))&gt;0,INDEX('İzin Planı'!$I$6:$I$35,18-5)&lt;=('Özet'!$C$6+7*52)+6,INDEX('İzin Planı'!$J$6:$J$35,18-5)&gt;=('Özet'!$C$6+7*52)),AND(N(INDEX('İzin Planı'!$L$6:$L$35,18-5))&gt;0,INDEX('İzin Planı'!$L$6:$L$35,18-5)&lt;=('Özet'!$C$6+7*52)+6,INDEX('İzin Planı'!$M$6:$M$35,18-5)&gt;=('Özet'!$C$6+7*52))),"İ",""))</f>
      </c>
    </row>
    <row r="19" ht="18" customHeight="1" spans="1:55" x14ac:dyDescent="0.25">
      <c r="A19" s="6">
        <v>14</v>
      </c>
      <c r="B19" s="13">
        <f>IF(INDEX('İzin Planı'!$C$6:$C$35,19-5)="","",INDEX('İzin Planı'!$C$6:$C$35,19-5))</f>
      </c>
      <c r="C19" s="13">
        <f>IF(INDEX('İzin Planı'!$C$6:$C$35,19-5)="","",IF(OR(AND(N(INDEX('İzin Planı'!$F$6:$F$35,19-5))&gt;0,INDEX('İzin Planı'!$F$6:$F$35,19-5)&lt;=('Özet'!$C$6+7*0)+6,INDEX('İzin Planı'!$G$6:$G$35,19-5)&gt;=('Özet'!$C$6+7*0)),AND(N(INDEX('İzin Planı'!$I$6:$I$35,19-5))&gt;0,INDEX('İzin Planı'!$I$6:$I$35,19-5)&lt;=('Özet'!$C$6+7*0)+6,INDEX('İzin Planı'!$J$6:$J$35,19-5)&gt;=('Özet'!$C$6+7*0)),AND(N(INDEX('İzin Planı'!$L$6:$L$35,19-5))&gt;0,INDEX('İzin Planı'!$L$6:$L$35,19-5)&lt;=('Özet'!$C$6+7*0)+6,INDEX('İzin Planı'!$M$6:$M$35,19-5)&gt;=('Özet'!$C$6+7*0))),"İ",""))</f>
      </c>
      <c r="D19" s="13">
        <f>IF(INDEX('İzin Planı'!$C$6:$C$35,19-5)="","",IF(OR(AND(N(INDEX('İzin Planı'!$F$6:$F$35,19-5))&gt;0,INDEX('İzin Planı'!$F$6:$F$35,19-5)&lt;=('Özet'!$C$6+7*1)+6,INDEX('İzin Planı'!$G$6:$G$35,19-5)&gt;=('Özet'!$C$6+7*1)),AND(N(INDEX('İzin Planı'!$I$6:$I$35,19-5))&gt;0,INDEX('İzin Planı'!$I$6:$I$35,19-5)&lt;=('Özet'!$C$6+7*1)+6,INDEX('İzin Planı'!$J$6:$J$35,19-5)&gt;=('Özet'!$C$6+7*1)),AND(N(INDEX('İzin Planı'!$L$6:$L$35,19-5))&gt;0,INDEX('İzin Planı'!$L$6:$L$35,19-5)&lt;=('Özet'!$C$6+7*1)+6,INDEX('İzin Planı'!$M$6:$M$35,19-5)&gt;=('Özet'!$C$6+7*1))),"İ",""))</f>
      </c>
      <c r="E19" s="13">
        <f>IF(INDEX('İzin Planı'!$C$6:$C$35,19-5)="","",IF(OR(AND(N(INDEX('İzin Planı'!$F$6:$F$35,19-5))&gt;0,INDEX('İzin Planı'!$F$6:$F$35,19-5)&lt;=('Özet'!$C$6+7*2)+6,INDEX('İzin Planı'!$G$6:$G$35,19-5)&gt;=('Özet'!$C$6+7*2)),AND(N(INDEX('İzin Planı'!$I$6:$I$35,19-5))&gt;0,INDEX('İzin Planı'!$I$6:$I$35,19-5)&lt;=('Özet'!$C$6+7*2)+6,INDEX('İzin Planı'!$J$6:$J$35,19-5)&gt;=('Özet'!$C$6+7*2)),AND(N(INDEX('İzin Planı'!$L$6:$L$35,19-5))&gt;0,INDEX('İzin Planı'!$L$6:$L$35,19-5)&lt;=('Özet'!$C$6+7*2)+6,INDEX('İzin Planı'!$M$6:$M$35,19-5)&gt;=('Özet'!$C$6+7*2))),"İ",""))</f>
      </c>
      <c r="F19" s="13">
        <f>IF(INDEX('İzin Planı'!$C$6:$C$35,19-5)="","",IF(OR(AND(N(INDEX('İzin Planı'!$F$6:$F$35,19-5))&gt;0,INDEX('İzin Planı'!$F$6:$F$35,19-5)&lt;=('Özet'!$C$6+7*3)+6,INDEX('İzin Planı'!$G$6:$G$35,19-5)&gt;=('Özet'!$C$6+7*3)),AND(N(INDEX('İzin Planı'!$I$6:$I$35,19-5))&gt;0,INDEX('İzin Planı'!$I$6:$I$35,19-5)&lt;=('Özet'!$C$6+7*3)+6,INDEX('İzin Planı'!$J$6:$J$35,19-5)&gt;=('Özet'!$C$6+7*3)),AND(N(INDEX('İzin Planı'!$L$6:$L$35,19-5))&gt;0,INDEX('İzin Planı'!$L$6:$L$35,19-5)&lt;=('Özet'!$C$6+7*3)+6,INDEX('İzin Planı'!$M$6:$M$35,19-5)&gt;=('Özet'!$C$6+7*3))),"İ",""))</f>
      </c>
      <c r="G19" s="13">
        <f>IF(INDEX('İzin Planı'!$C$6:$C$35,19-5)="","",IF(OR(AND(N(INDEX('İzin Planı'!$F$6:$F$35,19-5))&gt;0,INDEX('İzin Planı'!$F$6:$F$35,19-5)&lt;=('Özet'!$C$6+7*4)+6,INDEX('İzin Planı'!$G$6:$G$35,19-5)&gt;=('Özet'!$C$6+7*4)),AND(N(INDEX('İzin Planı'!$I$6:$I$35,19-5))&gt;0,INDEX('İzin Planı'!$I$6:$I$35,19-5)&lt;=('Özet'!$C$6+7*4)+6,INDEX('İzin Planı'!$J$6:$J$35,19-5)&gt;=('Özet'!$C$6+7*4)),AND(N(INDEX('İzin Planı'!$L$6:$L$35,19-5))&gt;0,INDEX('İzin Planı'!$L$6:$L$35,19-5)&lt;=('Özet'!$C$6+7*4)+6,INDEX('İzin Planı'!$M$6:$M$35,19-5)&gt;=('Özet'!$C$6+7*4))),"İ",""))</f>
      </c>
      <c r="H19" s="13">
        <f>IF(INDEX('İzin Planı'!$C$6:$C$35,19-5)="","",IF(OR(AND(N(INDEX('İzin Planı'!$F$6:$F$35,19-5))&gt;0,INDEX('İzin Planı'!$F$6:$F$35,19-5)&lt;=('Özet'!$C$6+7*5)+6,INDEX('İzin Planı'!$G$6:$G$35,19-5)&gt;=('Özet'!$C$6+7*5)),AND(N(INDEX('İzin Planı'!$I$6:$I$35,19-5))&gt;0,INDEX('İzin Planı'!$I$6:$I$35,19-5)&lt;=('Özet'!$C$6+7*5)+6,INDEX('İzin Planı'!$J$6:$J$35,19-5)&gt;=('Özet'!$C$6+7*5)),AND(N(INDEX('İzin Planı'!$L$6:$L$35,19-5))&gt;0,INDEX('İzin Planı'!$L$6:$L$35,19-5)&lt;=('Özet'!$C$6+7*5)+6,INDEX('İzin Planı'!$M$6:$M$35,19-5)&gt;=('Özet'!$C$6+7*5))),"İ",""))</f>
      </c>
      <c r="I19" s="13">
        <f>IF(INDEX('İzin Planı'!$C$6:$C$35,19-5)="","",IF(OR(AND(N(INDEX('İzin Planı'!$F$6:$F$35,19-5))&gt;0,INDEX('İzin Planı'!$F$6:$F$35,19-5)&lt;=('Özet'!$C$6+7*6)+6,INDEX('İzin Planı'!$G$6:$G$35,19-5)&gt;=('Özet'!$C$6+7*6)),AND(N(INDEX('İzin Planı'!$I$6:$I$35,19-5))&gt;0,INDEX('İzin Planı'!$I$6:$I$35,19-5)&lt;=('Özet'!$C$6+7*6)+6,INDEX('İzin Planı'!$J$6:$J$35,19-5)&gt;=('Özet'!$C$6+7*6)),AND(N(INDEX('İzin Planı'!$L$6:$L$35,19-5))&gt;0,INDEX('İzin Planı'!$L$6:$L$35,19-5)&lt;=('Özet'!$C$6+7*6)+6,INDEX('İzin Planı'!$M$6:$M$35,19-5)&gt;=('Özet'!$C$6+7*6))),"İ",""))</f>
      </c>
      <c r="J19" s="13">
        <f>IF(INDEX('İzin Planı'!$C$6:$C$35,19-5)="","",IF(OR(AND(N(INDEX('İzin Planı'!$F$6:$F$35,19-5))&gt;0,INDEX('İzin Planı'!$F$6:$F$35,19-5)&lt;=('Özet'!$C$6+7*7)+6,INDEX('İzin Planı'!$G$6:$G$35,19-5)&gt;=('Özet'!$C$6+7*7)),AND(N(INDEX('İzin Planı'!$I$6:$I$35,19-5))&gt;0,INDEX('İzin Planı'!$I$6:$I$35,19-5)&lt;=('Özet'!$C$6+7*7)+6,INDEX('İzin Planı'!$J$6:$J$35,19-5)&gt;=('Özet'!$C$6+7*7)),AND(N(INDEX('İzin Planı'!$L$6:$L$35,19-5))&gt;0,INDEX('İzin Planı'!$L$6:$L$35,19-5)&lt;=('Özet'!$C$6+7*7)+6,INDEX('İzin Planı'!$M$6:$M$35,19-5)&gt;=('Özet'!$C$6+7*7))),"İ",""))</f>
      </c>
      <c r="K19" s="13">
        <f>IF(INDEX('İzin Planı'!$C$6:$C$35,19-5)="","",IF(OR(AND(N(INDEX('İzin Planı'!$F$6:$F$35,19-5))&gt;0,INDEX('İzin Planı'!$F$6:$F$35,19-5)&lt;=('Özet'!$C$6+7*8)+6,INDEX('İzin Planı'!$G$6:$G$35,19-5)&gt;=('Özet'!$C$6+7*8)),AND(N(INDEX('İzin Planı'!$I$6:$I$35,19-5))&gt;0,INDEX('İzin Planı'!$I$6:$I$35,19-5)&lt;=('Özet'!$C$6+7*8)+6,INDEX('İzin Planı'!$J$6:$J$35,19-5)&gt;=('Özet'!$C$6+7*8)),AND(N(INDEX('İzin Planı'!$L$6:$L$35,19-5))&gt;0,INDEX('İzin Planı'!$L$6:$L$35,19-5)&lt;=('Özet'!$C$6+7*8)+6,INDEX('İzin Planı'!$M$6:$M$35,19-5)&gt;=('Özet'!$C$6+7*8))),"İ",""))</f>
      </c>
      <c r="L19" s="13">
        <f>IF(INDEX('İzin Planı'!$C$6:$C$35,19-5)="","",IF(OR(AND(N(INDEX('İzin Planı'!$F$6:$F$35,19-5))&gt;0,INDEX('İzin Planı'!$F$6:$F$35,19-5)&lt;=('Özet'!$C$6+7*9)+6,INDEX('İzin Planı'!$G$6:$G$35,19-5)&gt;=('Özet'!$C$6+7*9)),AND(N(INDEX('İzin Planı'!$I$6:$I$35,19-5))&gt;0,INDEX('İzin Planı'!$I$6:$I$35,19-5)&lt;=('Özet'!$C$6+7*9)+6,INDEX('İzin Planı'!$J$6:$J$35,19-5)&gt;=('Özet'!$C$6+7*9)),AND(N(INDEX('İzin Planı'!$L$6:$L$35,19-5))&gt;0,INDEX('İzin Planı'!$L$6:$L$35,19-5)&lt;=('Özet'!$C$6+7*9)+6,INDEX('İzin Planı'!$M$6:$M$35,19-5)&gt;=('Özet'!$C$6+7*9))),"İ",""))</f>
      </c>
      <c r="M19" s="13">
        <f>IF(INDEX('İzin Planı'!$C$6:$C$35,19-5)="","",IF(OR(AND(N(INDEX('İzin Planı'!$F$6:$F$35,19-5))&gt;0,INDEX('İzin Planı'!$F$6:$F$35,19-5)&lt;=('Özet'!$C$6+7*10)+6,INDEX('İzin Planı'!$G$6:$G$35,19-5)&gt;=('Özet'!$C$6+7*10)),AND(N(INDEX('İzin Planı'!$I$6:$I$35,19-5))&gt;0,INDEX('İzin Planı'!$I$6:$I$35,19-5)&lt;=('Özet'!$C$6+7*10)+6,INDEX('İzin Planı'!$J$6:$J$35,19-5)&gt;=('Özet'!$C$6+7*10)),AND(N(INDEX('İzin Planı'!$L$6:$L$35,19-5))&gt;0,INDEX('İzin Planı'!$L$6:$L$35,19-5)&lt;=('Özet'!$C$6+7*10)+6,INDEX('İzin Planı'!$M$6:$M$35,19-5)&gt;=('Özet'!$C$6+7*10))),"İ",""))</f>
      </c>
      <c r="N19" s="13">
        <f>IF(INDEX('İzin Planı'!$C$6:$C$35,19-5)="","",IF(OR(AND(N(INDEX('İzin Planı'!$F$6:$F$35,19-5))&gt;0,INDEX('İzin Planı'!$F$6:$F$35,19-5)&lt;=('Özet'!$C$6+7*11)+6,INDEX('İzin Planı'!$G$6:$G$35,19-5)&gt;=('Özet'!$C$6+7*11)),AND(N(INDEX('İzin Planı'!$I$6:$I$35,19-5))&gt;0,INDEX('İzin Planı'!$I$6:$I$35,19-5)&lt;=('Özet'!$C$6+7*11)+6,INDEX('İzin Planı'!$J$6:$J$35,19-5)&gt;=('Özet'!$C$6+7*11)),AND(N(INDEX('İzin Planı'!$L$6:$L$35,19-5))&gt;0,INDEX('İzin Planı'!$L$6:$L$35,19-5)&lt;=('Özet'!$C$6+7*11)+6,INDEX('İzin Planı'!$M$6:$M$35,19-5)&gt;=('Özet'!$C$6+7*11))),"İ",""))</f>
      </c>
      <c r="O19" s="13">
        <f>IF(INDEX('İzin Planı'!$C$6:$C$35,19-5)="","",IF(OR(AND(N(INDEX('İzin Planı'!$F$6:$F$35,19-5))&gt;0,INDEX('İzin Planı'!$F$6:$F$35,19-5)&lt;=('Özet'!$C$6+7*12)+6,INDEX('İzin Planı'!$G$6:$G$35,19-5)&gt;=('Özet'!$C$6+7*12)),AND(N(INDEX('İzin Planı'!$I$6:$I$35,19-5))&gt;0,INDEX('İzin Planı'!$I$6:$I$35,19-5)&lt;=('Özet'!$C$6+7*12)+6,INDEX('İzin Planı'!$J$6:$J$35,19-5)&gt;=('Özet'!$C$6+7*12)),AND(N(INDEX('İzin Planı'!$L$6:$L$35,19-5))&gt;0,INDEX('İzin Planı'!$L$6:$L$35,19-5)&lt;=('Özet'!$C$6+7*12)+6,INDEX('İzin Planı'!$M$6:$M$35,19-5)&gt;=('Özet'!$C$6+7*12))),"İ",""))</f>
      </c>
      <c r="P19" s="13">
        <f>IF(INDEX('İzin Planı'!$C$6:$C$35,19-5)="","",IF(OR(AND(N(INDEX('İzin Planı'!$F$6:$F$35,19-5))&gt;0,INDEX('İzin Planı'!$F$6:$F$35,19-5)&lt;=('Özet'!$C$6+7*13)+6,INDEX('İzin Planı'!$G$6:$G$35,19-5)&gt;=('Özet'!$C$6+7*13)),AND(N(INDEX('İzin Planı'!$I$6:$I$35,19-5))&gt;0,INDEX('İzin Planı'!$I$6:$I$35,19-5)&lt;=('Özet'!$C$6+7*13)+6,INDEX('İzin Planı'!$J$6:$J$35,19-5)&gt;=('Özet'!$C$6+7*13)),AND(N(INDEX('İzin Planı'!$L$6:$L$35,19-5))&gt;0,INDEX('İzin Planı'!$L$6:$L$35,19-5)&lt;=('Özet'!$C$6+7*13)+6,INDEX('İzin Planı'!$M$6:$M$35,19-5)&gt;=('Özet'!$C$6+7*13))),"İ",""))</f>
      </c>
      <c r="Q19" s="13">
        <f>IF(INDEX('İzin Planı'!$C$6:$C$35,19-5)="","",IF(OR(AND(N(INDEX('İzin Planı'!$F$6:$F$35,19-5))&gt;0,INDEX('İzin Planı'!$F$6:$F$35,19-5)&lt;=('Özet'!$C$6+7*14)+6,INDEX('İzin Planı'!$G$6:$G$35,19-5)&gt;=('Özet'!$C$6+7*14)),AND(N(INDEX('İzin Planı'!$I$6:$I$35,19-5))&gt;0,INDEX('İzin Planı'!$I$6:$I$35,19-5)&lt;=('Özet'!$C$6+7*14)+6,INDEX('İzin Planı'!$J$6:$J$35,19-5)&gt;=('Özet'!$C$6+7*14)),AND(N(INDEX('İzin Planı'!$L$6:$L$35,19-5))&gt;0,INDEX('İzin Planı'!$L$6:$L$35,19-5)&lt;=('Özet'!$C$6+7*14)+6,INDEX('İzin Planı'!$M$6:$M$35,19-5)&gt;=('Özet'!$C$6+7*14))),"İ",""))</f>
      </c>
      <c r="R19" s="13">
        <f>IF(INDEX('İzin Planı'!$C$6:$C$35,19-5)="","",IF(OR(AND(N(INDEX('İzin Planı'!$F$6:$F$35,19-5))&gt;0,INDEX('İzin Planı'!$F$6:$F$35,19-5)&lt;=('Özet'!$C$6+7*15)+6,INDEX('İzin Planı'!$G$6:$G$35,19-5)&gt;=('Özet'!$C$6+7*15)),AND(N(INDEX('İzin Planı'!$I$6:$I$35,19-5))&gt;0,INDEX('İzin Planı'!$I$6:$I$35,19-5)&lt;=('Özet'!$C$6+7*15)+6,INDEX('İzin Planı'!$J$6:$J$35,19-5)&gt;=('Özet'!$C$6+7*15)),AND(N(INDEX('İzin Planı'!$L$6:$L$35,19-5))&gt;0,INDEX('İzin Planı'!$L$6:$L$35,19-5)&lt;=('Özet'!$C$6+7*15)+6,INDEX('İzin Planı'!$M$6:$M$35,19-5)&gt;=('Özet'!$C$6+7*15))),"İ",""))</f>
      </c>
      <c r="S19" s="13">
        <f>IF(INDEX('İzin Planı'!$C$6:$C$35,19-5)="","",IF(OR(AND(N(INDEX('İzin Planı'!$F$6:$F$35,19-5))&gt;0,INDEX('İzin Planı'!$F$6:$F$35,19-5)&lt;=('Özet'!$C$6+7*16)+6,INDEX('İzin Planı'!$G$6:$G$35,19-5)&gt;=('Özet'!$C$6+7*16)),AND(N(INDEX('İzin Planı'!$I$6:$I$35,19-5))&gt;0,INDEX('İzin Planı'!$I$6:$I$35,19-5)&lt;=('Özet'!$C$6+7*16)+6,INDEX('İzin Planı'!$J$6:$J$35,19-5)&gt;=('Özet'!$C$6+7*16)),AND(N(INDEX('İzin Planı'!$L$6:$L$35,19-5))&gt;0,INDEX('İzin Planı'!$L$6:$L$35,19-5)&lt;=('Özet'!$C$6+7*16)+6,INDEX('İzin Planı'!$M$6:$M$35,19-5)&gt;=('Özet'!$C$6+7*16))),"İ",""))</f>
      </c>
      <c r="T19" s="13">
        <f>IF(INDEX('İzin Planı'!$C$6:$C$35,19-5)="","",IF(OR(AND(N(INDEX('İzin Planı'!$F$6:$F$35,19-5))&gt;0,INDEX('İzin Planı'!$F$6:$F$35,19-5)&lt;=('Özet'!$C$6+7*17)+6,INDEX('İzin Planı'!$G$6:$G$35,19-5)&gt;=('Özet'!$C$6+7*17)),AND(N(INDEX('İzin Planı'!$I$6:$I$35,19-5))&gt;0,INDEX('İzin Planı'!$I$6:$I$35,19-5)&lt;=('Özet'!$C$6+7*17)+6,INDEX('İzin Planı'!$J$6:$J$35,19-5)&gt;=('Özet'!$C$6+7*17)),AND(N(INDEX('İzin Planı'!$L$6:$L$35,19-5))&gt;0,INDEX('İzin Planı'!$L$6:$L$35,19-5)&lt;=('Özet'!$C$6+7*17)+6,INDEX('İzin Planı'!$M$6:$M$35,19-5)&gt;=('Özet'!$C$6+7*17))),"İ",""))</f>
      </c>
      <c r="U19" s="13">
        <f>IF(INDEX('İzin Planı'!$C$6:$C$35,19-5)="","",IF(OR(AND(N(INDEX('İzin Planı'!$F$6:$F$35,19-5))&gt;0,INDEX('İzin Planı'!$F$6:$F$35,19-5)&lt;=('Özet'!$C$6+7*18)+6,INDEX('İzin Planı'!$G$6:$G$35,19-5)&gt;=('Özet'!$C$6+7*18)),AND(N(INDEX('İzin Planı'!$I$6:$I$35,19-5))&gt;0,INDEX('İzin Planı'!$I$6:$I$35,19-5)&lt;=('Özet'!$C$6+7*18)+6,INDEX('İzin Planı'!$J$6:$J$35,19-5)&gt;=('Özet'!$C$6+7*18)),AND(N(INDEX('İzin Planı'!$L$6:$L$35,19-5))&gt;0,INDEX('İzin Planı'!$L$6:$L$35,19-5)&lt;=('Özet'!$C$6+7*18)+6,INDEX('İzin Planı'!$M$6:$M$35,19-5)&gt;=('Özet'!$C$6+7*18))),"İ",""))</f>
      </c>
      <c r="V19" s="13">
        <f>IF(INDEX('İzin Planı'!$C$6:$C$35,19-5)="","",IF(OR(AND(N(INDEX('İzin Planı'!$F$6:$F$35,19-5))&gt;0,INDEX('İzin Planı'!$F$6:$F$35,19-5)&lt;=('Özet'!$C$6+7*19)+6,INDEX('İzin Planı'!$G$6:$G$35,19-5)&gt;=('Özet'!$C$6+7*19)),AND(N(INDEX('İzin Planı'!$I$6:$I$35,19-5))&gt;0,INDEX('İzin Planı'!$I$6:$I$35,19-5)&lt;=('Özet'!$C$6+7*19)+6,INDEX('İzin Planı'!$J$6:$J$35,19-5)&gt;=('Özet'!$C$6+7*19)),AND(N(INDEX('İzin Planı'!$L$6:$L$35,19-5))&gt;0,INDEX('İzin Planı'!$L$6:$L$35,19-5)&lt;=('Özet'!$C$6+7*19)+6,INDEX('İzin Planı'!$M$6:$M$35,19-5)&gt;=('Özet'!$C$6+7*19))),"İ",""))</f>
      </c>
      <c r="W19" s="13">
        <f>IF(INDEX('İzin Planı'!$C$6:$C$35,19-5)="","",IF(OR(AND(N(INDEX('İzin Planı'!$F$6:$F$35,19-5))&gt;0,INDEX('İzin Planı'!$F$6:$F$35,19-5)&lt;=('Özet'!$C$6+7*20)+6,INDEX('İzin Planı'!$G$6:$G$35,19-5)&gt;=('Özet'!$C$6+7*20)),AND(N(INDEX('İzin Planı'!$I$6:$I$35,19-5))&gt;0,INDEX('İzin Planı'!$I$6:$I$35,19-5)&lt;=('Özet'!$C$6+7*20)+6,INDEX('İzin Planı'!$J$6:$J$35,19-5)&gt;=('Özet'!$C$6+7*20)),AND(N(INDEX('İzin Planı'!$L$6:$L$35,19-5))&gt;0,INDEX('İzin Planı'!$L$6:$L$35,19-5)&lt;=('Özet'!$C$6+7*20)+6,INDEX('İzin Planı'!$M$6:$M$35,19-5)&gt;=('Özet'!$C$6+7*20))),"İ",""))</f>
      </c>
      <c r="X19" s="13">
        <f>IF(INDEX('İzin Planı'!$C$6:$C$35,19-5)="","",IF(OR(AND(N(INDEX('İzin Planı'!$F$6:$F$35,19-5))&gt;0,INDEX('İzin Planı'!$F$6:$F$35,19-5)&lt;=('Özet'!$C$6+7*21)+6,INDEX('İzin Planı'!$G$6:$G$35,19-5)&gt;=('Özet'!$C$6+7*21)),AND(N(INDEX('İzin Planı'!$I$6:$I$35,19-5))&gt;0,INDEX('İzin Planı'!$I$6:$I$35,19-5)&lt;=('Özet'!$C$6+7*21)+6,INDEX('İzin Planı'!$J$6:$J$35,19-5)&gt;=('Özet'!$C$6+7*21)),AND(N(INDEX('İzin Planı'!$L$6:$L$35,19-5))&gt;0,INDEX('İzin Planı'!$L$6:$L$35,19-5)&lt;=('Özet'!$C$6+7*21)+6,INDEX('İzin Planı'!$M$6:$M$35,19-5)&gt;=('Özet'!$C$6+7*21))),"İ",""))</f>
      </c>
      <c r="Y19" s="13">
        <f>IF(INDEX('İzin Planı'!$C$6:$C$35,19-5)="","",IF(OR(AND(N(INDEX('İzin Planı'!$F$6:$F$35,19-5))&gt;0,INDEX('İzin Planı'!$F$6:$F$35,19-5)&lt;=('Özet'!$C$6+7*22)+6,INDEX('İzin Planı'!$G$6:$G$35,19-5)&gt;=('Özet'!$C$6+7*22)),AND(N(INDEX('İzin Planı'!$I$6:$I$35,19-5))&gt;0,INDEX('İzin Planı'!$I$6:$I$35,19-5)&lt;=('Özet'!$C$6+7*22)+6,INDEX('İzin Planı'!$J$6:$J$35,19-5)&gt;=('Özet'!$C$6+7*22)),AND(N(INDEX('İzin Planı'!$L$6:$L$35,19-5))&gt;0,INDEX('İzin Planı'!$L$6:$L$35,19-5)&lt;=('Özet'!$C$6+7*22)+6,INDEX('İzin Planı'!$M$6:$M$35,19-5)&gt;=('Özet'!$C$6+7*22))),"İ",""))</f>
      </c>
      <c r="Z19" s="13">
        <f>IF(INDEX('İzin Planı'!$C$6:$C$35,19-5)="","",IF(OR(AND(N(INDEX('İzin Planı'!$F$6:$F$35,19-5))&gt;0,INDEX('İzin Planı'!$F$6:$F$35,19-5)&lt;=('Özet'!$C$6+7*23)+6,INDEX('İzin Planı'!$G$6:$G$35,19-5)&gt;=('Özet'!$C$6+7*23)),AND(N(INDEX('İzin Planı'!$I$6:$I$35,19-5))&gt;0,INDEX('İzin Planı'!$I$6:$I$35,19-5)&lt;=('Özet'!$C$6+7*23)+6,INDEX('İzin Planı'!$J$6:$J$35,19-5)&gt;=('Özet'!$C$6+7*23)),AND(N(INDEX('İzin Planı'!$L$6:$L$35,19-5))&gt;0,INDEX('İzin Planı'!$L$6:$L$35,19-5)&lt;=('Özet'!$C$6+7*23)+6,INDEX('İzin Planı'!$M$6:$M$35,19-5)&gt;=('Özet'!$C$6+7*23))),"İ",""))</f>
      </c>
      <c r="AA19" s="13">
        <f>IF(INDEX('İzin Planı'!$C$6:$C$35,19-5)="","",IF(OR(AND(N(INDEX('İzin Planı'!$F$6:$F$35,19-5))&gt;0,INDEX('İzin Planı'!$F$6:$F$35,19-5)&lt;=('Özet'!$C$6+7*24)+6,INDEX('İzin Planı'!$G$6:$G$35,19-5)&gt;=('Özet'!$C$6+7*24)),AND(N(INDEX('İzin Planı'!$I$6:$I$35,19-5))&gt;0,INDEX('İzin Planı'!$I$6:$I$35,19-5)&lt;=('Özet'!$C$6+7*24)+6,INDEX('İzin Planı'!$J$6:$J$35,19-5)&gt;=('Özet'!$C$6+7*24)),AND(N(INDEX('İzin Planı'!$L$6:$L$35,19-5))&gt;0,INDEX('İzin Planı'!$L$6:$L$35,19-5)&lt;=('Özet'!$C$6+7*24)+6,INDEX('İzin Planı'!$M$6:$M$35,19-5)&gt;=('Özet'!$C$6+7*24))),"İ",""))</f>
      </c>
      <c r="AB19" s="13">
        <f>IF(INDEX('İzin Planı'!$C$6:$C$35,19-5)="","",IF(OR(AND(N(INDEX('İzin Planı'!$F$6:$F$35,19-5))&gt;0,INDEX('İzin Planı'!$F$6:$F$35,19-5)&lt;=('Özet'!$C$6+7*25)+6,INDEX('İzin Planı'!$G$6:$G$35,19-5)&gt;=('Özet'!$C$6+7*25)),AND(N(INDEX('İzin Planı'!$I$6:$I$35,19-5))&gt;0,INDEX('İzin Planı'!$I$6:$I$35,19-5)&lt;=('Özet'!$C$6+7*25)+6,INDEX('İzin Planı'!$J$6:$J$35,19-5)&gt;=('Özet'!$C$6+7*25)),AND(N(INDEX('İzin Planı'!$L$6:$L$35,19-5))&gt;0,INDEX('İzin Planı'!$L$6:$L$35,19-5)&lt;=('Özet'!$C$6+7*25)+6,INDEX('İzin Planı'!$M$6:$M$35,19-5)&gt;=('Özet'!$C$6+7*25))),"İ",""))</f>
      </c>
      <c r="AC19" s="13">
        <f>IF(INDEX('İzin Planı'!$C$6:$C$35,19-5)="","",IF(OR(AND(N(INDEX('İzin Planı'!$F$6:$F$35,19-5))&gt;0,INDEX('İzin Planı'!$F$6:$F$35,19-5)&lt;=('Özet'!$C$6+7*26)+6,INDEX('İzin Planı'!$G$6:$G$35,19-5)&gt;=('Özet'!$C$6+7*26)),AND(N(INDEX('İzin Planı'!$I$6:$I$35,19-5))&gt;0,INDEX('İzin Planı'!$I$6:$I$35,19-5)&lt;=('Özet'!$C$6+7*26)+6,INDEX('İzin Planı'!$J$6:$J$35,19-5)&gt;=('Özet'!$C$6+7*26)),AND(N(INDEX('İzin Planı'!$L$6:$L$35,19-5))&gt;0,INDEX('İzin Planı'!$L$6:$L$35,19-5)&lt;=('Özet'!$C$6+7*26)+6,INDEX('İzin Planı'!$M$6:$M$35,19-5)&gt;=('Özet'!$C$6+7*26))),"İ",""))</f>
      </c>
      <c r="AD19" s="13">
        <f>IF(INDEX('İzin Planı'!$C$6:$C$35,19-5)="","",IF(OR(AND(N(INDEX('İzin Planı'!$F$6:$F$35,19-5))&gt;0,INDEX('İzin Planı'!$F$6:$F$35,19-5)&lt;=('Özet'!$C$6+7*27)+6,INDEX('İzin Planı'!$G$6:$G$35,19-5)&gt;=('Özet'!$C$6+7*27)),AND(N(INDEX('İzin Planı'!$I$6:$I$35,19-5))&gt;0,INDEX('İzin Planı'!$I$6:$I$35,19-5)&lt;=('Özet'!$C$6+7*27)+6,INDEX('İzin Planı'!$J$6:$J$35,19-5)&gt;=('Özet'!$C$6+7*27)),AND(N(INDEX('İzin Planı'!$L$6:$L$35,19-5))&gt;0,INDEX('İzin Planı'!$L$6:$L$35,19-5)&lt;=('Özet'!$C$6+7*27)+6,INDEX('İzin Planı'!$M$6:$M$35,19-5)&gt;=('Özet'!$C$6+7*27))),"İ",""))</f>
      </c>
      <c r="AE19" s="13">
        <f>IF(INDEX('İzin Planı'!$C$6:$C$35,19-5)="","",IF(OR(AND(N(INDEX('İzin Planı'!$F$6:$F$35,19-5))&gt;0,INDEX('İzin Planı'!$F$6:$F$35,19-5)&lt;=('Özet'!$C$6+7*28)+6,INDEX('İzin Planı'!$G$6:$G$35,19-5)&gt;=('Özet'!$C$6+7*28)),AND(N(INDEX('İzin Planı'!$I$6:$I$35,19-5))&gt;0,INDEX('İzin Planı'!$I$6:$I$35,19-5)&lt;=('Özet'!$C$6+7*28)+6,INDEX('İzin Planı'!$J$6:$J$35,19-5)&gt;=('Özet'!$C$6+7*28)),AND(N(INDEX('İzin Planı'!$L$6:$L$35,19-5))&gt;0,INDEX('İzin Planı'!$L$6:$L$35,19-5)&lt;=('Özet'!$C$6+7*28)+6,INDEX('İzin Planı'!$M$6:$M$35,19-5)&gt;=('Özet'!$C$6+7*28))),"İ",""))</f>
      </c>
      <c r="AF19" s="13">
        <f>IF(INDEX('İzin Planı'!$C$6:$C$35,19-5)="","",IF(OR(AND(N(INDEX('İzin Planı'!$F$6:$F$35,19-5))&gt;0,INDEX('İzin Planı'!$F$6:$F$35,19-5)&lt;=('Özet'!$C$6+7*29)+6,INDEX('İzin Planı'!$G$6:$G$35,19-5)&gt;=('Özet'!$C$6+7*29)),AND(N(INDEX('İzin Planı'!$I$6:$I$35,19-5))&gt;0,INDEX('İzin Planı'!$I$6:$I$35,19-5)&lt;=('Özet'!$C$6+7*29)+6,INDEX('İzin Planı'!$J$6:$J$35,19-5)&gt;=('Özet'!$C$6+7*29)),AND(N(INDEX('İzin Planı'!$L$6:$L$35,19-5))&gt;0,INDEX('İzin Planı'!$L$6:$L$35,19-5)&lt;=('Özet'!$C$6+7*29)+6,INDEX('İzin Planı'!$M$6:$M$35,19-5)&gt;=('Özet'!$C$6+7*29))),"İ",""))</f>
      </c>
      <c r="AG19" s="13">
        <f>IF(INDEX('İzin Planı'!$C$6:$C$35,19-5)="","",IF(OR(AND(N(INDEX('İzin Planı'!$F$6:$F$35,19-5))&gt;0,INDEX('İzin Planı'!$F$6:$F$35,19-5)&lt;=('Özet'!$C$6+7*30)+6,INDEX('İzin Planı'!$G$6:$G$35,19-5)&gt;=('Özet'!$C$6+7*30)),AND(N(INDEX('İzin Planı'!$I$6:$I$35,19-5))&gt;0,INDEX('İzin Planı'!$I$6:$I$35,19-5)&lt;=('Özet'!$C$6+7*30)+6,INDEX('İzin Planı'!$J$6:$J$35,19-5)&gt;=('Özet'!$C$6+7*30)),AND(N(INDEX('İzin Planı'!$L$6:$L$35,19-5))&gt;0,INDEX('İzin Planı'!$L$6:$L$35,19-5)&lt;=('Özet'!$C$6+7*30)+6,INDEX('İzin Planı'!$M$6:$M$35,19-5)&gt;=('Özet'!$C$6+7*30))),"İ",""))</f>
      </c>
      <c r="AH19" s="13">
        <f>IF(INDEX('İzin Planı'!$C$6:$C$35,19-5)="","",IF(OR(AND(N(INDEX('İzin Planı'!$F$6:$F$35,19-5))&gt;0,INDEX('İzin Planı'!$F$6:$F$35,19-5)&lt;=('Özet'!$C$6+7*31)+6,INDEX('İzin Planı'!$G$6:$G$35,19-5)&gt;=('Özet'!$C$6+7*31)),AND(N(INDEX('İzin Planı'!$I$6:$I$35,19-5))&gt;0,INDEX('İzin Planı'!$I$6:$I$35,19-5)&lt;=('Özet'!$C$6+7*31)+6,INDEX('İzin Planı'!$J$6:$J$35,19-5)&gt;=('Özet'!$C$6+7*31)),AND(N(INDEX('İzin Planı'!$L$6:$L$35,19-5))&gt;0,INDEX('İzin Planı'!$L$6:$L$35,19-5)&lt;=('Özet'!$C$6+7*31)+6,INDEX('İzin Planı'!$M$6:$M$35,19-5)&gt;=('Özet'!$C$6+7*31))),"İ",""))</f>
      </c>
      <c r="AI19" s="13">
        <f>IF(INDEX('İzin Planı'!$C$6:$C$35,19-5)="","",IF(OR(AND(N(INDEX('İzin Planı'!$F$6:$F$35,19-5))&gt;0,INDEX('İzin Planı'!$F$6:$F$35,19-5)&lt;=('Özet'!$C$6+7*32)+6,INDEX('İzin Planı'!$G$6:$G$35,19-5)&gt;=('Özet'!$C$6+7*32)),AND(N(INDEX('İzin Planı'!$I$6:$I$35,19-5))&gt;0,INDEX('İzin Planı'!$I$6:$I$35,19-5)&lt;=('Özet'!$C$6+7*32)+6,INDEX('İzin Planı'!$J$6:$J$35,19-5)&gt;=('Özet'!$C$6+7*32)),AND(N(INDEX('İzin Planı'!$L$6:$L$35,19-5))&gt;0,INDEX('İzin Planı'!$L$6:$L$35,19-5)&lt;=('Özet'!$C$6+7*32)+6,INDEX('İzin Planı'!$M$6:$M$35,19-5)&gt;=('Özet'!$C$6+7*32))),"İ",""))</f>
      </c>
      <c r="AJ19" s="13">
        <f>IF(INDEX('İzin Planı'!$C$6:$C$35,19-5)="","",IF(OR(AND(N(INDEX('İzin Planı'!$F$6:$F$35,19-5))&gt;0,INDEX('İzin Planı'!$F$6:$F$35,19-5)&lt;=('Özet'!$C$6+7*33)+6,INDEX('İzin Planı'!$G$6:$G$35,19-5)&gt;=('Özet'!$C$6+7*33)),AND(N(INDEX('İzin Planı'!$I$6:$I$35,19-5))&gt;0,INDEX('İzin Planı'!$I$6:$I$35,19-5)&lt;=('Özet'!$C$6+7*33)+6,INDEX('İzin Planı'!$J$6:$J$35,19-5)&gt;=('Özet'!$C$6+7*33)),AND(N(INDEX('İzin Planı'!$L$6:$L$35,19-5))&gt;0,INDEX('İzin Planı'!$L$6:$L$35,19-5)&lt;=('Özet'!$C$6+7*33)+6,INDEX('İzin Planı'!$M$6:$M$35,19-5)&gt;=('Özet'!$C$6+7*33))),"İ",""))</f>
      </c>
      <c r="AK19" s="13">
        <f>IF(INDEX('İzin Planı'!$C$6:$C$35,19-5)="","",IF(OR(AND(N(INDEX('İzin Planı'!$F$6:$F$35,19-5))&gt;0,INDEX('İzin Planı'!$F$6:$F$35,19-5)&lt;=('Özet'!$C$6+7*34)+6,INDEX('İzin Planı'!$G$6:$G$35,19-5)&gt;=('Özet'!$C$6+7*34)),AND(N(INDEX('İzin Planı'!$I$6:$I$35,19-5))&gt;0,INDEX('İzin Planı'!$I$6:$I$35,19-5)&lt;=('Özet'!$C$6+7*34)+6,INDEX('İzin Planı'!$J$6:$J$35,19-5)&gt;=('Özet'!$C$6+7*34)),AND(N(INDEX('İzin Planı'!$L$6:$L$35,19-5))&gt;0,INDEX('İzin Planı'!$L$6:$L$35,19-5)&lt;=('Özet'!$C$6+7*34)+6,INDEX('İzin Planı'!$M$6:$M$35,19-5)&gt;=('Özet'!$C$6+7*34))),"İ",""))</f>
      </c>
      <c r="AL19" s="13">
        <f>IF(INDEX('İzin Planı'!$C$6:$C$35,19-5)="","",IF(OR(AND(N(INDEX('İzin Planı'!$F$6:$F$35,19-5))&gt;0,INDEX('İzin Planı'!$F$6:$F$35,19-5)&lt;=('Özet'!$C$6+7*35)+6,INDEX('İzin Planı'!$G$6:$G$35,19-5)&gt;=('Özet'!$C$6+7*35)),AND(N(INDEX('İzin Planı'!$I$6:$I$35,19-5))&gt;0,INDEX('İzin Planı'!$I$6:$I$35,19-5)&lt;=('Özet'!$C$6+7*35)+6,INDEX('İzin Planı'!$J$6:$J$35,19-5)&gt;=('Özet'!$C$6+7*35)),AND(N(INDEX('İzin Planı'!$L$6:$L$35,19-5))&gt;0,INDEX('İzin Planı'!$L$6:$L$35,19-5)&lt;=('Özet'!$C$6+7*35)+6,INDEX('İzin Planı'!$M$6:$M$35,19-5)&gt;=('Özet'!$C$6+7*35))),"İ",""))</f>
      </c>
      <c r="AM19" s="13">
        <f>IF(INDEX('İzin Planı'!$C$6:$C$35,19-5)="","",IF(OR(AND(N(INDEX('İzin Planı'!$F$6:$F$35,19-5))&gt;0,INDEX('İzin Planı'!$F$6:$F$35,19-5)&lt;=('Özet'!$C$6+7*36)+6,INDEX('İzin Planı'!$G$6:$G$35,19-5)&gt;=('Özet'!$C$6+7*36)),AND(N(INDEX('İzin Planı'!$I$6:$I$35,19-5))&gt;0,INDEX('İzin Planı'!$I$6:$I$35,19-5)&lt;=('Özet'!$C$6+7*36)+6,INDEX('İzin Planı'!$J$6:$J$35,19-5)&gt;=('Özet'!$C$6+7*36)),AND(N(INDEX('İzin Planı'!$L$6:$L$35,19-5))&gt;0,INDEX('İzin Planı'!$L$6:$L$35,19-5)&lt;=('Özet'!$C$6+7*36)+6,INDEX('İzin Planı'!$M$6:$M$35,19-5)&gt;=('Özet'!$C$6+7*36))),"İ",""))</f>
      </c>
      <c r="AN19" s="13">
        <f>IF(INDEX('İzin Planı'!$C$6:$C$35,19-5)="","",IF(OR(AND(N(INDEX('İzin Planı'!$F$6:$F$35,19-5))&gt;0,INDEX('İzin Planı'!$F$6:$F$35,19-5)&lt;=('Özet'!$C$6+7*37)+6,INDEX('İzin Planı'!$G$6:$G$35,19-5)&gt;=('Özet'!$C$6+7*37)),AND(N(INDEX('İzin Planı'!$I$6:$I$35,19-5))&gt;0,INDEX('İzin Planı'!$I$6:$I$35,19-5)&lt;=('Özet'!$C$6+7*37)+6,INDEX('İzin Planı'!$J$6:$J$35,19-5)&gt;=('Özet'!$C$6+7*37)),AND(N(INDEX('İzin Planı'!$L$6:$L$35,19-5))&gt;0,INDEX('İzin Planı'!$L$6:$L$35,19-5)&lt;=('Özet'!$C$6+7*37)+6,INDEX('İzin Planı'!$M$6:$M$35,19-5)&gt;=('Özet'!$C$6+7*37))),"İ",""))</f>
      </c>
      <c r="AO19" s="13">
        <f>IF(INDEX('İzin Planı'!$C$6:$C$35,19-5)="","",IF(OR(AND(N(INDEX('İzin Planı'!$F$6:$F$35,19-5))&gt;0,INDEX('İzin Planı'!$F$6:$F$35,19-5)&lt;=('Özet'!$C$6+7*38)+6,INDEX('İzin Planı'!$G$6:$G$35,19-5)&gt;=('Özet'!$C$6+7*38)),AND(N(INDEX('İzin Planı'!$I$6:$I$35,19-5))&gt;0,INDEX('İzin Planı'!$I$6:$I$35,19-5)&lt;=('Özet'!$C$6+7*38)+6,INDEX('İzin Planı'!$J$6:$J$35,19-5)&gt;=('Özet'!$C$6+7*38)),AND(N(INDEX('İzin Planı'!$L$6:$L$35,19-5))&gt;0,INDEX('İzin Planı'!$L$6:$L$35,19-5)&lt;=('Özet'!$C$6+7*38)+6,INDEX('İzin Planı'!$M$6:$M$35,19-5)&gt;=('Özet'!$C$6+7*38))),"İ",""))</f>
      </c>
      <c r="AP19" s="13">
        <f>IF(INDEX('İzin Planı'!$C$6:$C$35,19-5)="","",IF(OR(AND(N(INDEX('İzin Planı'!$F$6:$F$35,19-5))&gt;0,INDEX('İzin Planı'!$F$6:$F$35,19-5)&lt;=('Özet'!$C$6+7*39)+6,INDEX('İzin Planı'!$G$6:$G$35,19-5)&gt;=('Özet'!$C$6+7*39)),AND(N(INDEX('İzin Planı'!$I$6:$I$35,19-5))&gt;0,INDEX('İzin Planı'!$I$6:$I$35,19-5)&lt;=('Özet'!$C$6+7*39)+6,INDEX('İzin Planı'!$J$6:$J$35,19-5)&gt;=('Özet'!$C$6+7*39)),AND(N(INDEX('İzin Planı'!$L$6:$L$35,19-5))&gt;0,INDEX('İzin Planı'!$L$6:$L$35,19-5)&lt;=('Özet'!$C$6+7*39)+6,INDEX('İzin Planı'!$M$6:$M$35,19-5)&gt;=('Özet'!$C$6+7*39))),"İ",""))</f>
      </c>
      <c r="AQ19" s="13">
        <f>IF(INDEX('İzin Planı'!$C$6:$C$35,19-5)="","",IF(OR(AND(N(INDEX('İzin Planı'!$F$6:$F$35,19-5))&gt;0,INDEX('İzin Planı'!$F$6:$F$35,19-5)&lt;=('Özet'!$C$6+7*40)+6,INDEX('İzin Planı'!$G$6:$G$35,19-5)&gt;=('Özet'!$C$6+7*40)),AND(N(INDEX('İzin Planı'!$I$6:$I$35,19-5))&gt;0,INDEX('İzin Planı'!$I$6:$I$35,19-5)&lt;=('Özet'!$C$6+7*40)+6,INDEX('İzin Planı'!$J$6:$J$35,19-5)&gt;=('Özet'!$C$6+7*40)),AND(N(INDEX('İzin Planı'!$L$6:$L$35,19-5))&gt;0,INDEX('İzin Planı'!$L$6:$L$35,19-5)&lt;=('Özet'!$C$6+7*40)+6,INDEX('İzin Planı'!$M$6:$M$35,19-5)&gt;=('Özet'!$C$6+7*40))),"İ",""))</f>
      </c>
      <c r="AR19" s="13">
        <f>IF(INDEX('İzin Planı'!$C$6:$C$35,19-5)="","",IF(OR(AND(N(INDEX('İzin Planı'!$F$6:$F$35,19-5))&gt;0,INDEX('İzin Planı'!$F$6:$F$35,19-5)&lt;=('Özet'!$C$6+7*41)+6,INDEX('İzin Planı'!$G$6:$G$35,19-5)&gt;=('Özet'!$C$6+7*41)),AND(N(INDEX('İzin Planı'!$I$6:$I$35,19-5))&gt;0,INDEX('İzin Planı'!$I$6:$I$35,19-5)&lt;=('Özet'!$C$6+7*41)+6,INDEX('İzin Planı'!$J$6:$J$35,19-5)&gt;=('Özet'!$C$6+7*41)),AND(N(INDEX('İzin Planı'!$L$6:$L$35,19-5))&gt;0,INDEX('İzin Planı'!$L$6:$L$35,19-5)&lt;=('Özet'!$C$6+7*41)+6,INDEX('İzin Planı'!$M$6:$M$35,19-5)&gt;=('Özet'!$C$6+7*41))),"İ",""))</f>
      </c>
      <c r="AS19" s="13">
        <f>IF(INDEX('İzin Planı'!$C$6:$C$35,19-5)="","",IF(OR(AND(N(INDEX('İzin Planı'!$F$6:$F$35,19-5))&gt;0,INDEX('İzin Planı'!$F$6:$F$35,19-5)&lt;=('Özet'!$C$6+7*42)+6,INDEX('İzin Planı'!$G$6:$G$35,19-5)&gt;=('Özet'!$C$6+7*42)),AND(N(INDEX('İzin Planı'!$I$6:$I$35,19-5))&gt;0,INDEX('İzin Planı'!$I$6:$I$35,19-5)&lt;=('Özet'!$C$6+7*42)+6,INDEX('İzin Planı'!$J$6:$J$35,19-5)&gt;=('Özet'!$C$6+7*42)),AND(N(INDEX('İzin Planı'!$L$6:$L$35,19-5))&gt;0,INDEX('İzin Planı'!$L$6:$L$35,19-5)&lt;=('Özet'!$C$6+7*42)+6,INDEX('İzin Planı'!$M$6:$M$35,19-5)&gt;=('Özet'!$C$6+7*42))),"İ",""))</f>
      </c>
      <c r="AT19" s="13">
        <f>IF(INDEX('İzin Planı'!$C$6:$C$35,19-5)="","",IF(OR(AND(N(INDEX('İzin Planı'!$F$6:$F$35,19-5))&gt;0,INDEX('İzin Planı'!$F$6:$F$35,19-5)&lt;=('Özet'!$C$6+7*43)+6,INDEX('İzin Planı'!$G$6:$G$35,19-5)&gt;=('Özet'!$C$6+7*43)),AND(N(INDEX('İzin Planı'!$I$6:$I$35,19-5))&gt;0,INDEX('İzin Planı'!$I$6:$I$35,19-5)&lt;=('Özet'!$C$6+7*43)+6,INDEX('İzin Planı'!$J$6:$J$35,19-5)&gt;=('Özet'!$C$6+7*43)),AND(N(INDEX('İzin Planı'!$L$6:$L$35,19-5))&gt;0,INDEX('İzin Planı'!$L$6:$L$35,19-5)&lt;=('Özet'!$C$6+7*43)+6,INDEX('İzin Planı'!$M$6:$M$35,19-5)&gt;=('Özet'!$C$6+7*43))),"İ",""))</f>
      </c>
      <c r="AU19" s="13">
        <f>IF(INDEX('İzin Planı'!$C$6:$C$35,19-5)="","",IF(OR(AND(N(INDEX('İzin Planı'!$F$6:$F$35,19-5))&gt;0,INDEX('İzin Planı'!$F$6:$F$35,19-5)&lt;=('Özet'!$C$6+7*44)+6,INDEX('İzin Planı'!$G$6:$G$35,19-5)&gt;=('Özet'!$C$6+7*44)),AND(N(INDEX('İzin Planı'!$I$6:$I$35,19-5))&gt;0,INDEX('İzin Planı'!$I$6:$I$35,19-5)&lt;=('Özet'!$C$6+7*44)+6,INDEX('İzin Planı'!$J$6:$J$35,19-5)&gt;=('Özet'!$C$6+7*44)),AND(N(INDEX('İzin Planı'!$L$6:$L$35,19-5))&gt;0,INDEX('İzin Planı'!$L$6:$L$35,19-5)&lt;=('Özet'!$C$6+7*44)+6,INDEX('İzin Planı'!$M$6:$M$35,19-5)&gt;=('Özet'!$C$6+7*44))),"İ",""))</f>
      </c>
      <c r="AV19" s="13">
        <f>IF(INDEX('İzin Planı'!$C$6:$C$35,19-5)="","",IF(OR(AND(N(INDEX('İzin Planı'!$F$6:$F$35,19-5))&gt;0,INDEX('İzin Planı'!$F$6:$F$35,19-5)&lt;=('Özet'!$C$6+7*45)+6,INDEX('İzin Planı'!$G$6:$G$35,19-5)&gt;=('Özet'!$C$6+7*45)),AND(N(INDEX('İzin Planı'!$I$6:$I$35,19-5))&gt;0,INDEX('İzin Planı'!$I$6:$I$35,19-5)&lt;=('Özet'!$C$6+7*45)+6,INDEX('İzin Planı'!$J$6:$J$35,19-5)&gt;=('Özet'!$C$6+7*45)),AND(N(INDEX('İzin Planı'!$L$6:$L$35,19-5))&gt;0,INDEX('İzin Planı'!$L$6:$L$35,19-5)&lt;=('Özet'!$C$6+7*45)+6,INDEX('İzin Planı'!$M$6:$M$35,19-5)&gt;=('Özet'!$C$6+7*45))),"İ",""))</f>
      </c>
      <c r="AW19" s="13">
        <f>IF(INDEX('İzin Planı'!$C$6:$C$35,19-5)="","",IF(OR(AND(N(INDEX('İzin Planı'!$F$6:$F$35,19-5))&gt;0,INDEX('İzin Planı'!$F$6:$F$35,19-5)&lt;=('Özet'!$C$6+7*46)+6,INDEX('İzin Planı'!$G$6:$G$35,19-5)&gt;=('Özet'!$C$6+7*46)),AND(N(INDEX('İzin Planı'!$I$6:$I$35,19-5))&gt;0,INDEX('İzin Planı'!$I$6:$I$35,19-5)&lt;=('Özet'!$C$6+7*46)+6,INDEX('İzin Planı'!$J$6:$J$35,19-5)&gt;=('Özet'!$C$6+7*46)),AND(N(INDEX('İzin Planı'!$L$6:$L$35,19-5))&gt;0,INDEX('İzin Planı'!$L$6:$L$35,19-5)&lt;=('Özet'!$C$6+7*46)+6,INDEX('İzin Planı'!$M$6:$M$35,19-5)&gt;=('Özet'!$C$6+7*46))),"İ",""))</f>
      </c>
      <c r="AX19" s="13">
        <f>IF(INDEX('İzin Planı'!$C$6:$C$35,19-5)="","",IF(OR(AND(N(INDEX('İzin Planı'!$F$6:$F$35,19-5))&gt;0,INDEX('İzin Planı'!$F$6:$F$35,19-5)&lt;=('Özet'!$C$6+7*47)+6,INDEX('İzin Planı'!$G$6:$G$35,19-5)&gt;=('Özet'!$C$6+7*47)),AND(N(INDEX('İzin Planı'!$I$6:$I$35,19-5))&gt;0,INDEX('İzin Planı'!$I$6:$I$35,19-5)&lt;=('Özet'!$C$6+7*47)+6,INDEX('İzin Planı'!$J$6:$J$35,19-5)&gt;=('Özet'!$C$6+7*47)),AND(N(INDEX('İzin Planı'!$L$6:$L$35,19-5))&gt;0,INDEX('İzin Planı'!$L$6:$L$35,19-5)&lt;=('Özet'!$C$6+7*47)+6,INDEX('İzin Planı'!$M$6:$M$35,19-5)&gt;=('Özet'!$C$6+7*47))),"İ",""))</f>
      </c>
      <c r="AY19" s="13">
        <f>IF(INDEX('İzin Planı'!$C$6:$C$35,19-5)="","",IF(OR(AND(N(INDEX('İzin Planı'!$F$6:$F$35,19-5))&gt;0,INDEX('İzin Planı'!$F$6:$F$35,19-5)&lt;=('Özet'!$C$6+7*48)+6,INDEX('İzin Planı'!$G$6:$G$35,19-5)&gt;=('Özet'!$C$6+7*48)),AND(N(INDEX('İzin Planı'!$I$6:$I$35,19-5))&gt;0,INDEX('İzin Planı'!$I$6:$I$35,19-5)&lt;=('Özet'!$C$6+7*48)+6,INDEX('İzin Planı'!$J$6:$J$35,19-5)&gt;=('Özet'!$C$6+7*48)),AND(N(INDEX('İzin Planı'!$L$6:$L$35,19-5))&gt;0,INDEX('İzin Planı'!$L$6:$L$35,19-5)&lt;=('Özet'!$C$6+7*48)+6,INDEX('İzin Planı'!$M$6:$M$35,19-5)&gt;=('Özet'!$C$6+7*48))),"İ",""))</f>
      </c>
      <c r="AZ19" s="13">
        <f>IF(INDEX('İzin Planı'!$C$6:$C$35,19-5)="","",IF(OR(AND(N(INDEX('İzin Planı'!$F$6:$F$35,19-5))&gt;0,INDEX('İzin Planı'!$F$6:$F$35,19-5)&lt;=('Özet'!$C$6+7*49)+6,INDEX('İzin Planı'!$G$6:$G$35,19-5)&gt;=('Özet'!$C$6+7*49)),AND(N(INDEX('İzin Planı'!$I$6:$I$35,19-5))&gt;0,INDEX('İzin Planı'!$I$6:$I$35,19-5)&lt;=('Özet'!$C$6+7*49)+6,INDEX('İzin Planı'!$J$6:$J$35,19-5)&gt;=('Özet'!$C$6+7*49)),AND(N(INDEX('İzin Planı'!$L$6:$L$35,19-5))&gt;0,INDEX('İzin Planı'!$L$6:$L$35,19-5)&lt;=('Özet'!$C$6+7*49)+6,INDEX('İzin Planı'!$M$6:$M$35,19-5)&gt;=('Özet'!$C$6+7*49))),"İ",""))</f>
      </c>
      <c r="BA19" s="13">
        <f>IF(INDEX('İzin Planı'!$C$6:$C$35,19-5)="","",IF(OR(AND(N(INDEX('İzin Planı'!$F$6:$F$35,19-5))&gt;0,INDEX('İzin Planı'!$F$6:$F$35,19-5)&lt;=('Özet'!$C$6+7*50)+6,INDEX('İzin Planı'!$G$6:$G$35,19-5)&gt;=('Özet'!$C$6+7*50)),AND(N(INDEX('İzin Planı'!$I$6:$I$35,19-5))&gt;0,INDEX('İzin Planı'!$I$6:$I$35,19-5)&lt;=('Özet'!$C$6+7*50)+6,INDEX('İzin Planı'!$J$6:$J$35,19-5)&gt;=('Özet'!$C$6+7*50)),AND(N(INDEX('İzin Planı'!$L$6:$L$35,19-5))&gt;0,INDEX('İzin Planı'!$L$6:$L$35,19-5)&lt;=('Özet'!$C$6+7*50)+6,INDEX('İzin Planı'!$M$6:$M$35,19-5)&gt;=('Özet'!$C$6+7*50))),"İ",""))</f>
      </c>
      <c r="BB19" s="13">
        <f>IF(INDEX('İzin Planı'!$C$6:$C$35,19-5)="","",IF(OR(AND(N(INDEX('İzin Planı'!$F$6:$F$35,19-5))&gt;0,INDEX('İzin Planı'!$F$6:$F$35,19-5)&lt;=('Özet'!$C$6+7*51)+6,INDEX('İzin Planı'!$G$6:$G$35,19-5)&gt;=('Özet'!$C$6+7*51)),AND(N(INDEX('İzin Planı'!$I$6:$I$35,19-5))&gt;0,INDEX('İzin Planı'!$I$6:$I$35,19-5)&lt;=('Özet'!$C$6+7*51)+6,INDEX('İzin Planı'!$J$6:$J$35,19-5)&gt;=('Özet'!$C$6+7*51)),AND(N(INDEX('İzin Planı'!$L$6:$L$35,19-5))&gt;0,INDEX('İzin Planı'!$L$6:$L$35,19-5)&lt;=('Özet'!$C$6+7*51)+6,INDEX('İzin Planı'!$M$6:$M$35,19-5)&gt;=('Özet'!$C$6+7*51))),"İ",""))</f>
      </c>
      <c r="BC19" s="13">
        <f>IF(INDEX('İzin Planı'!$C$6:$C$35,19-5)="","",IF(OR(AND(N(INDEX('İzin Planı'!$F$6:$F$35,19-5))&gt;0,INDEX('İzin Planı'!$F$6:$F$35,19-5)&lt;=('Özet'!$C$6+7*52)+6,INDEX('İzin Planı'!$G$6:$G$35,19-5)&gt;=('Özet'!$C$6+7*52)),AND(N(INDEX('İzin Planı'!$I$6:$I$35,19-5))&gt;0,INDEX('İzin Planı'!$I$6:$I$35,19-5)&lt;=('Özet'!$C$6+7*52)+6,INDEX('İzin Planı'!$J$6:$J$35,19-5)&gt;=('Özet'!$C$6+7*52)),AND(N(INDEX('İzin Planı'!$L$6:$L$35,19-5))&gt;0,INDEX('İzin Planı'!$L$6:$L$35,19-5)&lt;=('Özet'!$C$6+7*52)+6,INDEX('İzin Planı'!$M$6:$M$35,19-5)&gt;=('Özet'!$C$6+7*52))),"İ",""))</f>
      </c>
    </row>
    <row r="20" ht="18" customHeight="1" spans="1:55" x14ac:dyDescent="0.25">
      <c r="A20" s="6">
        <v>15</v>
      </c>
      <c r="B20" s="13">
        <f>IF(INDEX('İzin Planı'!$C$6:$C$35,20-5)="","",INDEX('İzin Planı'!$C$6:$C$35,20-5))</f>
      </c>
      <c r="C20" s="13">
        <f>IF(INDEX('İzin Planı'!$C$6:$C$35,20-5)="","",IF(OR(AND(N(INDEX('İzin Planı'!$F$6:$F$35,20-5))&gt;0,INDEX('İzin Planı'!$F$6:$F$35,20-5)&lt;=('Özet'!$C$6+7*0)+6,INDEX('İzin Planı'!$G$6:$G$35,20-5)&gt;=('Özet'!$C$6+7*0)),AND(N(INDEX('İzin Planı'!$I$6:$I$35,20-5))&gt;0,INDEX('İzin Planı'!$I$6:$I$35,20-5)&lt;=('Özet'!$C$6+7*0)+6,INDEX('İzin Planı'!$J$6:$J$35,20-5)&gt;=('Özet'!$C$6+7*0)),AND(N(INDEX('İzin Planı'!$L$6:$L$35,20-5))&gt;0,INDEX('İzin Planı'!$L$6:$L$35,20-5)&lt;=('Özet'!$C$6+7*0)+6,INDEX('İzin Planı'!$M$6:$M$35,20-5)&gt;=('Özet'!$C$6+7*0))),"İ",""))</f>
      </c>
      <c r="D20" s="13">
        <f>IF(INDEX('İzin Planı'!$C$6:$C$35,20-5)="","",IF(OR(AND(N(INDEX('İzin Planı'!$F$6:$F$35,20-5))&gt;0,INDEX('İzin Planı'!$F$6:$F$35,20-5)&lt;=('Özet'!$C$6+7*1)+6,INDEX('İzin Planı'!$G$6:$G$35,20-5)&gt;=('Özet'!$C$6+7*1)),AND(N(INDEX('İzin Planı'!$I$6:$I$35,20-5))&gt;0,INDEX('İzin Planı'!$I$6:$I$35,20-5)&lt;=('Özet'!$C$6+7*1)+6,INDEX('İzin Planı'!$J$6:$J$35,20-5)&gt;=('Özet'!$C$6+7*1)),AND(N(INDEX('İzin Planı'!$L$6:$L$35,20-5))&gt;0,INDEX('İzin Planı'!$L$6:$L$35,20-5)&lt;=('Özet'!$C$6+7*1)+6,INDEX('İzin Planı'!$M$6:$M$35,20-5)&gt;=('Özet'!$C$6+7*1))),"İ",""))</f>
      </c>
      <c r="E20" s="13">
        <f>IF(INDEX('İzin Planı'!$C$6:$C$35,20-5)="","",IF(OR(AND(N(INDEX('İzin Planı'!$F$6:$F$35,20-5))&gt;0,INDEX('İzin Planı'!$F$6:$F$35,20-5)&lt;=('Özet'!$C$6+7*2)+6,INDEX('İzin Planı'!$G$6:$G$35,20-5)&gt;=('Özet'!$C$6+7*2)),AND(N(INDEX('İzin Planı'!$I$6:$I$35,20-5))&gt;0,INDEX('İzin Planı'!$I$6:$I$35,20-5)&lt;=('Özet'!$C$6+7*2)+6,INDEX('İzin Planı'!$J$6:$J$35,20-5)&gt;=('Özet'!$C$6+7*2)),AND(N(INDEX('İzin Planı'!$L$6:$L$35,20-5))&gt;0,INDEX('İzin Planı'!$L$6:$L$35,20-5)&lt;=('Özet'!$C$6+7*2)+6,INDEX('İzin Planı'!$M$6:$M$35,20-5)&gt;=('Özet'!$C$6+7*2))),"İ",""))</f>
      </c>
      <c r="F20" s="13">
        <f>IF(INDEX('İzin Planı'!$C$6:$C$35,20-5)="","",IF(OR(AND(N(INDEX('İzin Planı'!$F$6:$F$35,20-5))&gt;0,INDEX('İzin Planı'!$F$6:$F$35,20-5)&lt;=('Özet'!$C$6+7*3)+6,INDEX('İzin Planı'!$G$6:$G$35,20-5)&gt;=('Özet'!$C$6+7*3)),AND(N(INDEX('İzin Planı'!$I$6:$I$35,20-5))&gt;0,INDEX('İzin Planı'!$I$6:$I$35,20-5)&lt;=('Özet'!$C$6+7*3)+6,INDEX('İzin Planı'!$J$6:$J$35,20-5)&gt;=('Özet'!$C$6+7*3)),AND(N(INDEX('İzin Planı'!$L$6:$L$35,20-5))&gt;0,INDEX('İzin Planı'!$L$6:$L$35,20-5)&lt;=('Özet'!$C$6+7*3)+6,INDEX('İzin Planı'!$M$6:$M$35,20-5)&gt;=('Özet'!$C$6+7*3))),"İ",""))</f>
      </c>
      <c r="G20" s="13">
        <f>IF(INDEX('İzin Planı'!$C$6:$C$35,20-5)="","",IF(OR(AND(N(INDEX('İzin Planı'!$F$6:$F$35,20-5))&gt;0,INDEX('İzin Planı'!$F$6:$F$35,20-5)&lt;=('Özet'!$C$6+7*4)+6,INDEX('İzin Planı'!$G$6:$G$35,20-5)&gt;=('Özet'!$C$6+7*4)),AND(N(INDEX('İzin Planı'!$I$6:$I$35,20-5))&gt;0,INDEX('İzin Planı'!$I$6:$I$35,20-5)&lt;=('Özet'!$C$6+7*4)+6,INDEX('İzin Planı'!$J$6:$J$35,20-5)&gt;=('Özet'!$C$6+7*4)),AND(N(INDEX('İzin Planı'!$L$6:$L$35,20-5))&gt;0,INDEX('İzin Planı'!$L$6:$L$35,20-5)&lt;=('Özet'!$C$6+7*4)+6,INDEX('İzin Planı'!$M$6:$M$35,20-5)&gt;=('Özet'!$C$6+7*4))),"İ",""))</f>
      </c>
      <c r="H20" s="13">
        <f>IF(INDEX('İzin Planı'!$C$6:$C$35,20-5)="","",IF(OR(AND(N(INDEX('İzin Planı'!$F$6:$F$35,20-5))&gt;0,INDEX('İzin Planı'!$F$6:$F$35,20-5)&lt;=('Özet'!$C$6+7*5)+6,INDEX('İzin Planı'!$G$6:$G$35,20-5)&gt;=('Özet'!$C$6+7*5)),AND(N(INDEX('İzin Planı'!$I$6:$I$35,20-5))&gt;0,INDEX('İzin Planı'!$I$6:$I$35,20-5)&lt;=('Özet'!$C$6+7*5)+6,INDEX('İzin Planı'!$J$6:$J$35,20-5)&gt;=('Özet'!$C$6+7*5)),AND(N(INDEX('İzin Planı'!$L$6:$L$35,20-5))&gt;0,INDEX('İzin Planı'!$L$6:$L$35,20-5)&lt;=('Özet'!$C$6+7*5)+6,INDEX('İzin Planı'!$M$6:$M$35,20-5)&gt;=('Özet'!$C$6+7*5))),"İ",""))</f>
      </c>
      <c r="I20" s="13">
        <f>IF(INDEX('İzin Planı'!$C$6:$C$35,20-5)="","",IF(OR(AND(N(INDEX('İzin Planı'!$F$6:$F$35,20-5))&gt;0,INDEX('İzin Planı'!$F$6:$F$35,20-5)&lt;=('Özet'!$C$6+7*6)+6,INDEX('İzin Planı'!$G$6:$G$35,20-5)&gt;=('Özet'!$C$6+7*6)),AND(N(INDEX('İzin Planı'!$I$6:$I$35,20-5))&gt;0,INDEX('İzin Planı'!$I$6:$I$35,20-5)&lt;=('Özet'!$C$6+7*6)+6,INDEX('İzin Planı'!$J$6:$J$35,20-5)&gt;=('Özet'!$C$6+7*6)),AND(N(INDEX('İzin Planı'!$L$6:$L$35,20-5))&gt;0,INDEX('İzin Planı'!$L$6:$L$35,20-5)&lt;=('Özet'!$C$6+7*6)+6,INDEX('İzin Planı'!$M$6:$M$35,20-5)&gt;=('Özet'!$C$6+7*6))),"İ",""))</f>
      </c>
      <c r="J20" s="13">
        <f>IF(INDEX('İzin Planı'!$C$6:$C$35,20-5)="","",IF(OR(AND(N(INDEX('İzin Planı'!$F$6:$F$35,20-5))&gt;0,INDEX('İzin Planı'!$F$6:$F$35,20-5)&lt;=('Özet'!$C$6+7*7)+6,INDEX('İzin Planı'!$G$6:$G$35,20-5)&gt;=('Özet'!$C$6+7*7)),AND(N(INDEX('İzin Planı'!$I$6:$I$35,20-5))&gt;0,INDEX('İzin Planı'!$I$6:$I$35,20-5)&lt;=('Özet'!$C$6+7*7)+6,INDEX('İzin Planı'!$J$6:$J$35,20-5)&gt;=('Özet'!$C$6+7*7)),AND(N(INDEX('İzin Planı'!$L$6:$L$35,20-5))&gt;0,INDEX('İzin Planı'!$L$6:$L$35,20-5)&lt;=('Özet'!$C$6+7*7)+6,INDEX('İzin Planı'!$M$6:$M$35,20-5)&gt;=('Özet'!$C$6+7*7))),"İ",""))</f>
      </c>
      <c r="K20" s="13">
        <f>IF(INDEX('İzin Planı'!$C$6:$C$35,20-5)="","",IF(OR(AND(N(INDEX('İzin Planı'!$F$6:$F$35,20-5))&gt;0,INDEX('İzin Planı'!$F$6:$F$35,20-5)&lt;=('Özet'!$C$6+7*8)+6,INDEX('İzin Planı'!$G$6:$G$35,20-5)&gt;=('Özet'!$C$6+7*8)),AND(N(INDEX('İzin Planı'!$I$6:$I$35,20-5))&gt;0,INDEX('İzin Planı'!$I$6:$I$35,20-5)&lt;=('Özet'!$C$6+7*8)+6,INDEX('İzin Planı'!$J$6:$J$35,20-5)&gt;=('Özet'!$C$6+7*8)),AND(N(INDEX('İzin Planı'!$L$6:$L$35,20-5))&gt;0,INDEX('İzin Planı'!$L$6:$L$35,20-5)&lt;=('Özet'!$C$6+7*8)+6,INDEX('İzin Planı'!$M$6:$M$35,20-5)&gt;=('Özet'!$C$6+7*8))),"İ",""))</f>
      </c>
      <c r="L20" s="13">
        <f>IF(INDEX('İzin Planı'!$C$6:$C$35,20-5)="","",IF(OR(AND(N(INDEX('İzin Planı'!$F$6:$F$35,20-5))&gt;0,INDEX('İzin Planı'!$F$6:$F$35,20-5)&lt;=('Özet'!$C$6+7*9)+6,INDEX('İzin Planı'!$G$6:$G$35,20-5)&gt;=('Özet'!$C$6+7*9)),AND(N(INDEX('İzin Planı'!$I$6:$I$35,20-5))&gt;0,INDEX('İzin Planı'!$I$6:$I$35,20-5)&lt;=('Özet'!$C$6+7*9)+6,INDEX('İzin Planı'!$J$6:$J$35,20-5)&gt;=('Özet'!$C$6+7*9)),AND(N(INDEX('İzin Planı'!$L$6:$L$35,20-5))&gt;0,INDEX('İzin Planı'!$L$6:$L$35,20-5)&lt;=('Özet'!$C$6+7*9)+6,INDEX('İzin Planı'!$M$6:$M$35,20-5)&gt;=('Özet'!$C$6+7*9))),"İ",""))</f>
      </c>
      <c r="M20" s="13">
        <f>IF(INDEX('İzin Planı'!$C$6:$C$35,20-5)="","",IF(OR(AND(N(INDEX('İzin Planı'!$F$6:$F$35,20-5))&gt;0,INDEX('İzin Planı'!$F$6:$F$35,20-5)&lt;=('Özet'!$C$6+7*10)+6,INDEX('İzin Planı'!$G$6:$G$35,20-5)&gt;=('Özet'!$C$6+7*10)),AND(N(INDEX('İzin Planı'!$I$6:$I$35,20-5))&gt;0,INDEX('İzin Planı'!$I$6:$I$35,20-5)&lt;=('Özet'!$C$6+7*10)+6,INDEX('İzin Planı'!$J$6:$J$35,20-5)&gt;=('Özet'!$C$6+7*10)),AND(N(INDEX('İzin Planı'!$L$6:$L$35,20-5))&gt;0,INDEX('İzin Planı'!$L$6:$L$35,20-5)&lt;=('Özet'!$C$6+7*10)+6,INDEX('İzin Planı'!$M$6:$M$35,20-5)&gt;=('Özet'!$C$6+7*10))),"İ",""))</f>
      </c>
      <c r="N20" s="13">
        <f>IF(INDEX('İzin Planı'!$C$6:$C$35,20-5)="","",IF(OR(AND(N(INDEX('İzin Planı'!$F$6:$F$35,20-5))&gt;0,INDEX('İzin Planı'!$F$6:$F$35,20-5)&lt;=('Özet'!$C$6+7*11)+6,INDEX('İzin Planı'!$G$6:$G$35,20-5)&gt;=('Özet'!$C$6+7*11)),AND(N(INDEX('İzin Planı'!$I$6:$I$35,20-5))&gt;0,INDEX('İzin Planı'!$I$6:$I$35,20-5)&lt;=('Özet'!$C$6+7*11)+6,INDEX('İzin Planı'!$J$6:$J$35,20-5)&gt;=('Özet'!$C$6+7*11)),AND(N(INDEX('İzin Planı'!$L$6:$L$35,20-5))&gt;0,INDEX('İzin Planı'!$L$6:$L$35,20-5)&lt;=('Özet'!$C$6+7*11)+6,INDEX('İzin Planı'!$M$6:$M$35,20-5)&gt;=('Özet'!$C$6+7*11))),"İ",""))</f>
      </c>
      <c r="O20" s="13">
        <f>IF(INDEX('İzin Planı'!$C$6:$C$35,20-5)="","",IF(OR(AND(N(INDEX('İzin Planı'!$F$6:$F$35,20-5))&gt;0,INDEX('İzin Planı'!$F$6:$F$35,20-5)&lt;=('Özet'!$C$6+7*12)+6,INDEX('İzin Planı'!$G$6:$G$35,20-5)&gt;=('Özet'!$C$6+7*12)),AND(N(INDEX('İzin Planı'!$I$6:$I$35,20-5))&gt;0,INDEX('İzin Planı'!$I$6:$I$35,20-5)&lt;=('Özet'!$C$6+7*12)+6,INDEX('İzin Planı'!$J$6:$J$35,20-5)&gt;=('Özet'!$C$6+7*12)),AND(N(INDEX('İzin Planı'!$L$6:$L$35,20-5))&gt;0,INDEX('İzin Planı'!$L$6:$L$35,20-5)&lt;=('Özet'!$C$6+7*12)+6,INDEX('İzin Planı'!$M$6:$M$35,20-5)&gt;=('Özet'!$C$6+7*12))),"İ",""))</f>
      </c>
      <c r="P20" s="13">
        <f>IF(INDEX('İzin Planı'!$C$6:$C$35,20-5)="","",IF(OR(AND(N(INDEX('İzin Planı'!$F$6:$F$35,20-5))&gt;0,INDEX('İzin Planı'!$F$6:$F$35,20-5)&lt;=('Özet'!$C$6+7*13)+6,INDEX('İzin Planı'!$G$6:$G$35,20-5)&gt;=('Özet'!$C$6+7*13)),AND(N(INDEX('İzin Planı'!$I$6:$I$35,20-5))&gt;0,INDEX('İzin Planı'!$I$6:$I$35,20-5)&lt;=('Özet'!$C$6+7*13)+6,INDEX('İzin Planı'!$J$6:$J$35,20-5)&gt;=('Özet'!$C$6+7*13)),AND(N(INDEX('İzin Planı'!$L$6:$L$35,20-5))&gt;0,INDEX('İzin Planı'!$L$6:$L$35,20-5)&lt;=('Özet'!$C$6+7*13)+6,INDEX('İzin Planı'!$M$6:$M$35,20-5)&gt;=('Özet'!$C$6+7*13))),"İ",""))</f>
      </c>
      <c r="Q20" s="13">
        <f>IF(INDEX('İzin Planı'!$C$6:$C$35,20-5)="","",IF(OR(AND(N(INDEX('İzin Planı'!$F$6:$F$35,20-5))&gt;0,INDEX('İzin Planı'!$F$6:$F$35,20-5)&lt;=('Özet'!$C$6+7*14)+6,INDEX('İzin Planı'!$G$6:$G$35,20-5)&gt;=('Özet'!$C$6+7*14)),AND(N(INDEX('İzin Planı'!$I$6:$I$35,20-5))&gt;0,INDEX('İzin Planı'!$I$6:$I$35,20-5)&lt;=('Özet'!$C$6+7*14)+6,INDEX('İzin Planı'!$J$6:$J$35,20-5)&gt;=('Özet'!$C$6+7*14)),AND(N(INDEX('İzin Planı'!$L$6:$L$35,20-5))&gt;0,INDEX('İzin Planı'!$L$6:$L$35,20-5)&lt;=('Özet'!$C$6+7*14)+6,INDEX('İzin Planı'!$M$6:$M$35,20-5)&gt;=('Özet'!$C$6+7*14))),"İ",""))</f>
      </c>
      <c r="R20" s="13">
        <f>IF(INDEX('İzin Planı'!$C$6:$C$35,20-5)="","",IF(OR(AND(N(INDEX('İzin Planı'!$F$6:$F$35,20-5))&gt;0,INDEX('İzin Planı'!$F$6:$F$35,20-5)&lt;=('Özet'!$C$6+7*15)+6,INDEX('İzin Planı'!$G$6:$G$35,20-5)&gt;=('Özet'!$C$6+7*15)),AND(N(INDEX('İzin Planı'!$I$6:$I$35,20-5))&gt;0,INDEX('İzin Planı'!$I$6:$I$35,20-5)&lt;=('Özet'!$C$6+7*15)+6,INDEX('İzin Planı'!$J$6:$J$35,20-5)&gt;=('Özet'!$C$6+7*15)),AND(N(INDEX('İzin Planı'!$L$6:$L$35,20-5))&gt;0,INDEX('İzin Planı'!$L$6:$L$35,20-5)&lt;=('Özet'!$C$6+7*15)+6,INDEX('İzin Planı'!$M$6:$M$35,20-5)&gt;=('Özet'!$C$6+7*15))),"İ",""))</f>
      </c>
      <c r="S20" s="13">
        <f>IF(INDEX('İzin Planı'!$C$6:$C$35,20-5)="","",IF(OR(AND(N(INDEX('İzin Planı'!$F$6:$F$35,20-5))&gt;0,INDEX('İzin Planı'!$F$6:$F$35,20-5)&lt;=('Özet'!$C$6+7*16)+6,INDEX('İzin Planı'!$G$6:$G$35,20-5)&gt;=('Özet'!$C$6+7*16)),AND(N(INDEX('İzin Planı'!$I$6:$I$35,20-5))&gt;0,INDEX('İzin Planı'!$I$6:$I$35,20-5)&lt;=('Özet'!$C$6+7*16)+6,INDEX('İzin Planı'!$J$6:$J$35,20-5)&gt;=('Özet'!$C$6+7*16)),AND(N(INDEX('İzin Planı'!$L$6:$L$35,20-5))&gt;0,INDEX('İzin Planı'!$L$6:$L$35,20-5)&lt;=('Özet'!$C$6+7*16)+6,INDEX('İzin Planı'!$M$6:$M$35,20-5)&gt;=('Özet'!$C$6+7*16))),"İ",""))</f>
      </c>
      <c r="T20" s="13">
        <f>IF(INDEX('İzin Planı'!$C$6:$C$35,20-5)="","",IF(OR(AND(N(INDEX('İzin Planı'!$F$6:$F$35,20-5))&gt;0,INDEX('İzin Planı'!$F$6:$F$35,20-5)&lt;=('Özet'!$C$6+7*17)+6,INDEX('İzin Planı'!$G$6:$G$35,20-5)&gt;=('Özet'!$C$6+7*17)),AND(N(INDEX('İzin Planı'!$I$6:$I$35,20-5))&gt;0,INDEX('İzin Planı'!$I$6:$I$35,20-5)&lt;=('Özet'!$C$6+7*17)+6,INDEX('İzin Planı'!$J$6:$J$35,20-5)&gt;=('Özet'!$C$6+7*17)),AND(N(INDEX('İzin Planı'!$L$6:$L$35,20-5))&gt;0,INDEX('İzin Planı'!$L$6:$L$35,20-5)&lt;=('Özet'!$C$6+7*17)+6,INDEX('İzin Planı'!$M$6:$M$35,20-5)&gt;=('Özet'!$C$6+7*17))),"İ",""))</f>
      </c>
      <c r="U20" s="13">
        <f>IF(INDEX('İzin Planı'!$C$6:$C$35,20-5)="","",IF(OR(AND(N(INDEX('İzin Planı'!$F$6:$F$35,20-5))&gt;0,INDEX('İzin Planı'!$F$6:$F$35,20-5)&lt;=('Özet'!$C$6+7*18)+6,INDEX('İzin Planı'!$G$6:$G$35,20-5)&gt;=('Özet'!$C$6+7*18)),AND(N(INDEX('İzin Planı'!$I$6:$I$35,20-5))&gt;0,INDEX('İzin Planı'!$I$6:$I$35,20-5)&lt;=('Özet'!$C$6+7*18)+6,INDEX('İzin Planı'!$J$6:$J$35,20-5)&gt;=('Özet'!$C$6+7*18)),AND(N(INDEX('İzin Planı'!$L$6:$L$35,20-5))&gt;0,INDEX('İzin Planı'!$L$6:$L$35,20-5)&lt;=('Özet'!$C$6+7*18)+6,INDEX('İzin Planı'!$M$6:$M$35,20-5)&gt;=('Özet'!$C$6+7*18))),"İ",""))</f>
      </c>
      <c r="V20" s="13">
        <f>IF(INDEX('İzin Planı'!$C$6:$C$35,20-5)="","",IF(OR(AND(N(INDEX('İzin Planı'!$F$6:$F$35,20-5))&gt;0,INDEX('İzin Planı'!$F$6:$F$35,20-5)&lt;=('Özet'!$C$6+7*19)+6,INDEX('İzin Planı'!$G$6:$G$35,20-5)&gt;=('Özet'!$C$6+7*19)),AND(N(INDEX('İzin Planı'!$I$6:$I$35,20-5))&gt;0,INDEX('İzin Planı'!$I$6:$I$35,20-5)&lt;=('Özet'!$C$6+7*19)+6,INDEX('İzin Planı'!$J$6:$J$35,20-5)&gt;=('Özet'!$C$6+7*19)),AND(N(INDEX('İzin Planı'!$L$6:$L$35,20-5))&gt;0,INDEX('İzin Planı'!$L$6:$L$35,20-5)&lt;=('Özet'!$C$6+7*19)+6,INDEX('İzin Planı'!$M$6:$M$35,20-5)&gt;=('Özet'!$C$6+7*19))),"İ",""))</f>
      </c>
      <c r="W20" s="13">
        <f>IF(INDEX('İzin Planı'!$C$6:$C$35,20-5)="","",IF(OR(AND(N(INDEX('İzin Planı'!$F$6:$F$35,20-5))&gt;0,INDEX('İzin Planı'!$F$6:$F$35,20-5)&lt;=('Özet'!$C$6+7*20)+6,INDEX('İzin Planı'!$G$6:$G$35,20-5)&gt;=('Özet'!$C$6+7*20)),AND(N(INDEX('İzin Planı'!$I$6:$I$35,20-5))&gt;0,INDEX('İzin Planı'!$I$6:$I$35,20-5)&lt;=('Özet'!$C$6+7*20)+6,INDEX('İzin Planı'!$J$6:$J$35,20-5)&gt;=('Özet'!$C$6+7*20)),AND(N(INDEX('İzin Planı'!$L$6:$L$35,20-5))&gt;0,INDEX('İzin Planı'!$L$6:$L$35,20-5)&lt;=('Özet'!$C$6+7*20)+6,INDEX('İzin Planı'!$M$6:$M$35,20-5)&gt;=('Özet'!$C$6+7*20))),"İ",""))</f>
      </c>
      <c r="X20" s="13">
        <f>IF(INDEX('İzin Planı'!$C$6:$C$35,20-5)="","",IF(OR(AND(N(INDEX('İzin Planı'!$F$6:$F$35,20-5))&gt;0,INDEX('İzin Planı'!$F$6:$F$35,20-5)&lt;=('Özet'!$C$6+7*21)+6,INDEX('İzin Planı'!$G$6:$G$35,20-5)&gt;=('Özet'!$C$6+7*21)),AND(N(INDEX('İzin Planı'!$I$6:$I$35,20-5))&gt;0,INDEX('İzin Planı'!$I$6:$I$35,20-5)&lt;=('Özet'!$C$6+7*21)+6,INDEX('İzin Planı'!$J$6:$J$35,20-5)&gt;=('Özet'!$C$6+7*21)),AND(N(INDEX('İzin Planı'!$L$6:$L$35,20-5))&gt;0,INDEX('İzin Planı'!$L$6:$L$35,20-5)&lt;=('Özet'!$C$6+7*21)+6,INDEX('İzin Planı'!$M$6:$M$35,20-5)&gt;=('Özet'!$C$6+7*21))),"İ",""))</f>
      </c>
      <c r="Y20" s="13">
        <f>IF(INDEX('İzin Planı'!$C$6:$C$35,20-5)="","",IF(OR(AND(N(INDEX('İzin Planı'!$F$6:$F$35,20-5))&gt;0,INDEX('İzin Planı'!$F$6:$F$35,20-5)&lt;=('Özet'!$C$6+7*22)+6,INDEX('İzin Planı'!$G$6:$G$35,20-5)&gt;=('Özet'!$C$6+7*22)),AND(N(INDEX('İzin Planı'!$I$6:$I$35,20-5))&gt;0,INDEX('İzin Planı'!$I$6:$I$35,20-5)&lt;=('Özet'!$C$6+7*22)+6,INDEX('İzin Planı'!$J$6:$J$35,20-5)&gt;=('Özet'!$C$6+7*22)),AND(N(INDEX('İzin Planı'!$L$6:$L$35,20-5))&gt;0,INDEX('İzin Planı'!$L$6:$L$35,20-5)&lt;=('Özet'!$C$6+7*22)+6,INDEX('İzin Planı'!$M$6:$M$35,20-5)&gt;=('Özet'!$C$6+7*22))),"İ",""))</f>
      </c>
      <c r="Z20" s="13">
        <f>IF(INDEX('İzin Planı'!$C$6:$C$35,20-5)="","",IF(OR(AND(N(INDEX('İzin Planı'!$F$6:$F$35,20-5))&gt;0,INDEX('İzin Planı'!$F$6:$F$35,20-5)&lt;=('Özet'!$C$6+7*23)+6,INDEX('İzin Planı'!$G$6:$G$35,20-5)&gt;=('Özet'!$C$6+7*23)),AND(N(INDEX('İzin Planı'!$I$6:$I$35,20-5))&gt;0,INDEX('İzin Planı'!$I$6:$I$35,20-5)&lt;=('Özet'!$C$6+7*23)+6,INDEX('İzin Planı'!$J$6:$J$35,20-5)&gt;=('Özet'!$C$6+7*23)),AND(N(INDEX('İzin Planı'!$L$6:$L$35,20-5))&gt;0,INDEX('İzin Planı'!$L$6:$L$35,20-5)&lt;=('Özet'!$C$6+7*23)+6,INDEX('İzin Planı'!$M$6:$M$35,20-5)&gt;=('Özet'!$C$6+7*23))),"İ",""))</f>
      </c>
      <c r="AA20" s="13">
        <f>IF(INDEX('İzin Planı'!$C$6:$C$35,20-5)="","",IF(OR(AND(N(INDEX('İzin Planı'!$F$6:$F$35,20-5))&gt;0,INDEX('İzin Planı'!$F$6:$F$35,20-5)&lt;=('Özet'!$C$6+7*24)+6,INDEX('İzin Planı'!$G$6:$G$35,20-5)&gt;=('Özet'!$C$6+7*24)),AND(N(INDEX('İzin Planı'!$I$6:$I$35,20-5))&gt;0,INDEX('İzin Planı'!$I$6:$I$35,20-5)&lt;=('Özet'!$C$6+7*24)+6,INDEX('İzin Planı'!$J$6:$J$35,20-5)&gt;=('Özet'!$C$6+7*24)),AND(N(INDEX('İzin Planı'!$L$6:$L$35,20-5))&gt;0,INDEX('İzin Planı'!$L$6:$L$35,20-5)&lt;=('Özet'!$C$6+7*24)+6,INDEX('İzin Planı'!$M$6:$M$35,20-5)&gt;=('Özet'!$C$6+7*24))),"İ",""))</f>
      </c>
      <c r="AB20" s="13">
        <f>IF(INDEX('İzin Planı'!$C$6:$C$35,20-5)="","",IF(OR(AND(N(INDEX('İzin Planı'!$F$6:$F$35,20-5))&gt;0,INDEX('İzin Planı'!$F$6:$F$35,20-5)&lt;=('Özet'!$C$6+7*25)+6,INDEX('İzin Planı'!$G$6:$G$35,20-5)&gt;=('Özet'!$C$6+7*25)),AND(N(INDEX('İzin Planı'!$I$6:$I$35,20-5))&gt;0,INDEX('İzin Planı'!$I$6:$I$35,20-5)&lt;=('Özet'!$C$6+7*25)+6,INDEX('İzin Planı'!$J$6:$J$35,20-5)&gt;=('Özet'!$C$6+7*25)),AND(N(INDEX('İzin Planı'!$L$6:$L$35,20-5))&gt;0,INDEX('İzin Planı'!$L$6:$L$35,20-5)&lt;=('Özet'!$C$6+7*25)+6,INDEX('İzin Planı'!$M$6:$M$35,20-5)&gt;=('Özet'!$C$6+7*25))),"İ",""))</f>
      </c>
      <c r="AC20" s="13">
        <f>IF(INDEX('İzin Planı'!$C$6:$C$35,20-5)="","",IF(OR(AND(N(INDEX('İzin Planı'!$F$6:$F$35,20-5))&gt;0,INDEX('İzin Planı'!$F$6:$F$35,20-5)&lt;=('Özet'!$C$6+7*26)+6,INDEX('İzin Planı'!$G$6:$G$35,20-5)&gt;=('Özet'!$C$6+7*26)),AND(N(INDEX('İzin Planı'!$I$6:$I$35,20-5))&gt;0,INDEX('İzin Planı'!$I$6:$I$35,20-5)&lt;=('Özet'!$C$6+7*26)+6,INDEX('İzin Planı'!$J$6:$J$35,20-5)&gt;=('Özet'!$C$6+7*26)),AND(N(INDEX('İzin Planı'!$L$6:$L$35,20-5))&gt;0,INDEX('İzin Planı'!$L$6:$L$35,20-5)&lt;=('Özet'!$C$6+7*26)+6,INDEX('İzin Planı'!$M$6:$M$35,20-5)&gt;=('Özet'!$C$6+7*26))),"İ",""))</f>
      </c>
      <c r="AD20" s="13">
        <f>IF(INDEX('İzin Planı'!$C$6:$C$35,20-5)="","",IF(OR(AND(N(INDEX('İzin Planı'!$F$6:$F$35,20-5))&gt;0,INDEX('İzin Planı'!$F$6:$F$35,20-5)&lt;=('Özet'!$C$6+7*27)+6,INDEX('İzin Planı'!$G$6:$G$35,20-5)&gt;=('Özet'!$C$6+7*27)),AND(N(INDEX('İzin Planı'!$I$6:$I$35,20-5))&gt;0,INDEX('İzin Planı'!$I$6:$I$35,20-5)&lt;=('Özet'!$C$6+7*27)+6,INDEX('İzin Planı'!$J$6:$J$35,20-5)&gt;=('Özet'!$C$6+7*27)),AND(N(INDEX('İzin Planı'!$L$6:$L$35,20-5))&gt;0,INDEX('İzin Planı'!$L$6:$L$35,20-5)&lt;=('Özet'!$C$6+7*27)+6,INDEX('İzin Planı'!$M$6:$M$35,20-5)&gt;=('Özet'!$C$6+7*27))),"İ",""))</f>
      </c>
      <c r="AE20" s="13">
        <f>IF(INDEX('İzin Planı'!$C$6:$C$35,20-5)="","",IF(OR(AND(N(INDEX('İzin Planı'!$F$6:$F$35,20-5))&gt;0,INDEX('İzin Planı'!$F$6:$F$35,20-5)&lt;=('Özet'!$C$6+7*28)+6,INDEX('İzin Planı'!$G$6:$G$35,20-5)&gt;=('Özet'!$C$6+7*28)),AND(N(INDEX('İzin Planı'!$I$6:$I$35,20-5))&gt;0,INDEX('İzin Planı'!$I$6:$I$35,20-5)&lt;=('Özet'!$C$6+7*28)+6,INDEX('İzin Planı'!$J$6:$J$35,20-5)&gt;=('Özet'!$C$6+7*28)),AND(N(INDEX('İzin Planı'!$L$6:$L$35,20-5))&gt;0,INDEX('İzin Planı'!$L$6:$L$35,20-5)&lt;=('Özet'!$C$6+7*28)+6,INDEX('İzin Planı'!$M$6:$M$35,20-5)&gt;=('Özet'!$C$6+7*28))),"İ",""))</f>
      </c>
      <c r="AF20" s="13">
        <f>IF(INDEX('İzin Planı'!$C$6:$C$35,20-5)="","",IF(OR(AND(N(INDEX('İzin Planı'!$F$6:$F$35,20-5))&gt;0,INDEX('İzin Planı'!$F$6:$F$35,20-5)&lt;=('Özet'!$C$6+7*29)+6,INDEX('İzin Planı'!$G$6:$G$35,20-5)&gt;=('Özet'!$C$6+7*29)),AND(N(INDEX('İzin Planı'!$I$6:$I$35,20-5))&gt;0,INDEX('İzin Planı'!$I$6:$I$35,20-5)&lt;=('Özet'!$C$6+7*29)+6,INDEX('İzin Planı'!$J$6:$J$35,20-5)&gt;=('Özet'!$C$6+7*29)),AND(N(INDEX('İzin Planı'!$L$6:$L$35,20-5))&gt;0,INDEX('İzin Planı'!$L$6:$L$35,20-5)&lt;=('Özet'!$C$6+7*29)+6,INDEX('İzin Planı'!$M$6:$M$35,20-5)&gt;=('Özet'!$C$6+7*29))),"İ",""))</f>
      </c>
      <c r="AG20" s="13">
        <f>IF(INDEX('İzin Planı'!$C$6:$C$35,20-5)="","",IF(OR(AND(N(INDEX('İzin Planı'!$F$6:$F$35,20-5))&gt;0,INDEX('İzin Planı'!$F$6:$F$35,20-5)&lt;=('Özet'!$C$6+7*30)+6,INDEX('İzin Planı'!$G$6:$G$35,20-5)&gt;=('Özet'!$C$6+7*30)),AND(N(INDEX('İzin Planı'!$I$6:$I$35,20-5))&gt;0,INDEX('İzin Planı'!$I$6:$I$35,20-5)&lt;=('Özet'!$C$6+7*30)+6,INDEX('İzin Planı'!$J$6:$J$35,20-5)&gt;=('Özet'!$C$6+7*30)),AND(N(INDEX('İzin Planı'!$L$6:$L$35,20-5))&gt;0,INDEX('İzin Planı'!$L$6:$L$35,20-5)&lt;=('Özet'!$C$6+7*30)+6,INDEX('İzin Planı'!$M$6:$M$35,20-5)&gt;=('Özet'!$C$6+7*30))),"İ",""))</f>
      </c>
      <c r="AH20" s="13">
        <f>IF(INDEX('İzin Planı'!$C$6:$C$35,20-5)="","",IF(OR(AND(N(INDEX('İzin Planı'!$F$6:$F$35,20-5))&gt;0,INDEX('İzin Planı'!$F$6:$F$35,20-5)&lt;=('Özet'!$C$6+7*31)+6,INDEX('İzin Planı'!$G$6:$G$35,20-5)&gt;=('Özet'!$C$6+7*31)),AND(N(INDEX('İzin Planı'!$I$6:$I$35,20-5))&gt;0,INDEX('İzin Planı'!$I$6:$I$35,20-5)&lt;=('Özet'!$C$6+7*31)+6,INDEX('İzin Planı'!$J$6:$J$35,20-5)&gt;=('Özet'!$C$6+7*31)),AND(N(INDEX('İzin Planı'!$L$6:$L$35,20-5))&gt;0,INDEX('İzin Planı'!$L$6:$L$35,20-5)&lt;=('Özet'!$C$6+7*31)+6,INDEX('İzin Planı'!$M$6:$M$35,20-5)&gt;=('Özet'!$C$6+7*31))),"İ",""))</f>
      </c>
      <c r="AI20" s="13">
        <f>IF(INDEX('İzin Planı'!$C$6:$C$35,20-5)="","",IF(OR(AND(N(INDEX('İzin Planı'!$F$6:$F$35,20-5))&gt;0,INDEX('İzin Planı'!$F$6:$F$35,20-5)&lt;=('Özet'!$C$6+7*32)+6,INDEX('İzin Planı'!$G$6:$G$35,20-5)&gt;=('Özet'!$C$6+7*32)),AND(N(INDEX('İzin Planı'!$I$6:$I$35,20-5))&gt;0,INDEX('İzin Planı'!$I$6:$I$35,20-5)&lt;=('Özet'!$C$6+7*32)+6,INDEX('İzin Planı'!$J$6:$J$35,20-5)&gt;=('Özet'!$C$6+7*32)),AND(N(INDEX('İzin Planı'!$L$6:$L$35,20-5))&gt;0,INDEX('İzin Planı'!$L$6:$L$35,20-5)&lt;=('Özet'!$C$6+7*32)+6,INDEX('İzin Planı'!$M$6:$M$35,20-5)&gt;=('Özet'!$C$6+7*32))),"İ",""))</f>
      </c>
      <c r="AJ20" s="13">
        <f>IF(INDEX('İzin Planı'!$C$6:$C$35,20-5)="","",IF(OR(AND(N(INDEX('İzin Planı'!$F$6:$F$35,20-5))&gt;0,INDEX('İzin Planı'!$F$6:$F$35,20-5)&lt;=('Özet'!$C$6+7*33)+6,INDEX('İzin Planı'!$G$6:$G$35,20-5)&gt;=('Özet'!$C$6+7*33)),AND(N(INDEX('İzin Planı'!$I$6:$I$35,20-5))&gt;0,INDEX('İzin Planı'!$I$6:$I$35,20-5)&lt;=('Özet'!$C$6+7*33)+6,INDEX('İzin Planı'!$J$6:$J$35,20-5)&gt;=('Özet'!$C$6+7*33)),AND(N(INDEX('İzin Planı'!$L$6:$L$35,20-5))&gt;0,INDEX('İzin Planı'!$L$6:$L$35,20-5)&lt;=('Özet'!$C$6+7*33)+6,INDEX('İzin Planı'!$M$6:$M$35,20-5)&gt;=('Özet'!$C$6+7*33))),"İ",""))</f>
      </c>
      <c r="AK20" s="13">
        <f>IF(INDEX('İzin Planı'!$C$6:$C$35,20-5)="","",IF(OR(AND(N(INDEX('İzin Planı'!$F$6:$F$35,20-5))&gt;0,INDEX('İzin Planı'!$F$6:$F$35,20-5)&lt;=('Özet'!$C$6+7*34)+6,INDEX('İzin Planı'!$G$6:$G$35,20-5)&gt;=('Özet'!$C$6+7*34)),AND(N(INDEX('İzin Planı'!$I$6:$I$35,20-5))&gt;0,INDEX('İzin Planı'!$I$6:$I$35,20-5)&lt;=('Özet'!$C$6+7*34)+6,INDEX('İzin Planı'!$J$6:$J$35,20-5)&gt;=('Özet'!$C$6+7*34)),AND(N(INDEX('İzin Planı'!$L$6:$L$35,20-5))&gt;0,INDEX('İzin Planı'!$L$6:$L$35,20-5)&lt;=('Özet'!$C$6+7*34)+6,INDEX('İzin Planı'!$M$6:$M$35,20-5)&gt;=('Özet'!$C$6+7*34))),"İ",""))</f>
      </c>
      <c r="AL20" s="13">
        <f>IF(INDEX('İzin Planı'!$C$6:$C$35,20-5)="","",IF(OR(AND(N(INDEX('İzin Planı'!$F$6:$F$35,20-5))&gt;0,INDEX('İzin Planı'!$F$6:$F$35,20-5)&lt;=('Özet'!$C$6+7*35)+6,INDEX('İzin Planı'!$G$6:$G$35,20-5)&gt;=('Özet'!$C$6+7*35)),AND(N(INDEX('İzin Planı'!$I$6:$I$35,20-5))&gt;0,INDEX('İzin Planı'!$I$6:$I$35,20-5)&lt;=('Özet'!$C$6+7*35)+6,INDEX('İzin Planı'!$J$6:$J$35,20-5)&gt;=('Özet'!$C$6+7*35)),AND(N(INDEX('İzin Planı'!$L$6:$L$35,20-5))&gt;0,INDEX('İzin Planı'!$L$6:$L$35,20-5)&lt;=('Özet'!$C$6+7*35)+6,INDEX('İzin Planı'!$M$6:$M$35,20-5)&gt;=('Özet'!$C$6+7*35))),"İ",""))</f>
      </c>
      <c r="AM20" s="13">
        <f>IF(INDEX('İzin Planı'!$C$6:$C$35,20-5)="","",IF(OR(AND(N(INDEX('İzin Planı'!$F$6:$F$35,20-5))&gt;0,INDEX('İzin Planı'!$F$6:$F$35,20-5)&lt;=('Özet'!$C$6+7*36)+6,INDEX('İzin Planı'!$G$6:$G$35,20-5)&gt;=('Özet'!$C$6+7*36)),AND(N(INDEX('İzin Planı'!$I$6:$I$35,20-5))&gt;0,INDEX('İzin Planı'!$I$6:$I$35,20-5)&lt;=('Özet'!$C$6+7*36)+6,INDEX('İzin Planı'!$J$6:$J$35,20-5)&gt;=('Özet'!$C$6+7*36)),AND(N(INDEX('İzin Planı'!$L$6:$L$35,20-5))&gt;0,INDEX('İzin Planı'!$L$6:$L$35,20-5)&lt;=('Özet'!$C$6+7*36)+6,INDEX('İzin Planı'!$M$6:$M$35,20-5)&gt;=('Özet'!$C$6+7*36))),"İ",""))</f>
      </c>
      <c r="AN20" s="13">
        <f>IF(INDEX('İzin Planı'!$C$6:$C$35,20-5)="","",IF(OR(AND(N(INDEX('İzin Planı'!$F$6:$F$35,20-5))&gt;0,INDEX('İzin Planı'!$F$6:$F$35,20-5)&lt;=('Özet'!$C$6+7*37)+6,INDEX('İzin Planı'!$G$6:$G$35,20-5)&gt;=('Özet'!$C$6+7*37)),AND(N(INDEX('İzin Planı'!$I$6:$I$35,20-5))&gt;0,INDEX('İzin Planı'!$I$6:$I$35,20-5)&lt;=('Özet'!$C$6+7*37)+6,INDEX('İzin Planı'!$J$6:$J$35,20-5)&gt;=('Özet'!$C$6+7*37)),AND(N(INDEX('İzin Planı'!$L$6:$L$35,20-5))&gt;0,INDEX('İzin Planı'!$L$6:$L$35,20-5)&lt;=('Özet'!$C$6+7*37)+6,INDEX('İzin Planı'!$M$6:$M$35,20-5)&gt;=('Özet'!$C$6+7*37))),"İ",""))</f>
      </c>
      <c r="AO20" s="13">
        <f>IF(INDEX('İzin Planı'!$C$6:$C$35,20-5)="","",IF(OR(AND(N(INDEX('İzin Planı'!$F$6:$F$35,20-5))&gt;0,INDEX('İzin Planı'!$F$6:$F$35,20-5)&lt;=('Özet'!$C$6+7*38)+6,INDEX('İzin Planı'!$G$6:$G$35,20-5)&gt;=('Özet'!$C$6+7*38)),AND(N(INDEX('İzin Planı'!$I$6:$I$35,20-5))&gt;0,INDEX('İzin Planı'!$I$6:$I$35,20-5)&lt;=('Özet'!$C$6+7*38)+6,INDEX('İzin Planı'!$J$6:$J$35,20-5)&gt;=('Özet'!$C$6+7*38)),AND(N(INDEX('İzin Planı'!$L$6:$L$35,20-5))&gt;0,INDEX('İzin Planı'!$L$6:$L$35,20-5)&lt;=('Özet'!$C$6+7*38)+6,INDEX('İzin Planı'!$M$6:$M$35,20-5)&gt;=('Özet'!$C$6+7*38))),"İ",""))</f>
      </c>
      <c r="AP20" s="13">
        <f>IF(INDEX('İzin Planı'!$C$6:$C$35,20-5)="","",IF(OR(AND(N(INDEX('İzin Planı'!$F$6:$F$35,20-5))&gt;0,INDEX('İzin Planı'!$F$6:$F$35,20-5)&lt;=('Özet'!$C$6+7*39)+6,INDEX('İzin Planı'!$G$6:$G$35,20-5)&gt;=('Özet'!$C$6+7*39)),AND(N(INDEX('İzin Planı'!$I$6:$I$35,20-5))&gt;0,INDEX('İzin Planı'!$I$6:$I$35,20-5)&lt;=('Özet'!$C$6+7*39)+6,INDEX('İzin Planı'!$J$6:$J$35,20-5)&gt;=('Özet'!$C$6+7*39)),AND(N(INDEX('İzin Planı'!$L$6:$L$35,20-5))&gt;0,INDEX('İzin Planı'!$L$6:$L$35,20-5)&lt;=('Özet'!$C$6+7*39)+6,INDEX('İzin Planı'!$M$6:$M$35,20-5)&gt;=('Özet'!$C$6+7*39))),"İ",""))</f>
      </c>
      <c r="AQ20" s="13">
        <f>IF(INDEX('İzin Planı'!$C$6:$C$35,20-5)="","",IF(OR(AND(N(INDEX('İzin Planı'!$F$6:$F$35,20-5))&gt;0,INDEX('İzin Planı'!$F$6:$F$35,20-5)&lt;=('Özet'!$C$6+7*40)+6,INDEX('İzin Planı'!$G$6:$G$35,20-5)&gt;=('Özet'!$C$6+7*40)),AND(N(INDEX('İzin Planı'!$I$6:$I$35,20-5))&gt;0,INDEX('İzin Planı'!$I$6:$I$35,20-5)&lt;=('Özet'!$C$6+7*40)+6,INDEX('İzin Planı'!$J$6:$J$35,20-5)&gt;=('Özet'!$C$6+7*40)),AND(N(INDEX('İzin Planı'!$L$6:$L$35,20-5))&gt;0,INDEX('İzin Planı'!$L$6:$L$35,20-5)&lt;=('Özet'!$C$6+7*40)+6,INDEX('İzin Planı'!$M$6:$M$35,20-5)&gt;=('Özet'!$C$6+7*40))),"İ",""))</f>
      </c>
      <c r="AR20" s="13">
        <f>IF(INDEX('İzin Planı'!$C$6:$C$35,20-5)="","",IF(OR(AND(N(INDEX('İzin Planı'!$F$6:$F$35,20-5))&gt;0,INDEX('İzin Planı'!$F$6:$F$35,20-5)&lt;=('Özet'!$C$6+7*41)+6,INDEX('İzin Planı'!$G$6:$G$35,20-5)&gt;=('Özet'!$C$6+7*41)),AND(N(INDEX('İzin Planı'!$I$6:$I$35,20-5))&gt;0,INDEX('İzin Planı'!$I$6:$I$35,20-5)&lt;=('Özet'!$C$6+7*41)+6,INDEX('İzin Planı'!$J$6:$J$35,20-5)&gt;=('Özet'!$C$6+7*41)),AND(N(INDEX('İzin Planı'!$L$6:$L$35,20-5))&gt;0,INDEX('İzin Planı'!$L$6:$L$35,20-5)&lt;=('Özet'!$C$6+7*41)+6,INDEX('İzin Planı'!$M$6:$M$35,20-5)&gt;=('Özet'!$C$6+7*41))),"İ",""))</f>
      </c>
      <c r="AS20" s="13">
        <f>IF(INDEX('İzin Planı'!$C$6:$C$35,20-5)="","",IF(OR(AND(N(INDEX('İzin Planı'!$F$6:$F$35,20-5))&gt;0,INDEX('İzin Planı'!$F$6:$F$35,20-5)&lt;=('Özet'!$C$6+7*42)+6,INDEX('İzin Planı'!$G$6:$G$35,20-5)&gt;=('Özet'!$C$6+7*42)),AND(N(INDEX('İzin Planı'!$I$6:$I$35,20-5))&gt;0,INDEX('İzin Planı'!$I$6:$I$35,20-5)&lt;=('Özet'!$C$6+7*42)+6,INDEX('İzin Planı'!$J$6:$J$35,20-5)&gt;=('Özet'!$C$6+7*42)),AND(N(INDEX('İzin Planı'!$L$6:$L$35,20-5))&gt;0,INDEX('İzin Planı'!$L$6:$L$35,20-5)&lt;=('Özet'!$C$6+7*42)+6,INDEX('İzin Planı'!$M$6:$M$35,20-5)&gt;=('Özet'!$C$6+7*42))),"İ",""))</f>
      </c>
      <c r="AT20" s="13">
        <f>IF(INDEX('İzin Planı'!$C$6:$C$35,20-5)="","",IF(OR(AND(N(INDEX('İzin Planı'!$F$6:$F$35,20-5))&gt;0,INDEX('İzin Planı'!$F$6:$F$35,20-5)&lt;=('Özet'!$C$6+7*43)+6,INDEX('İzin Planı'!$G$6:$G$35,20-5)&gt;=('Özet'!$C$6+7*43)),AND(N(INDEX('İzin Planı'!$I$6:$I$35,20-5))&gt;0,INDEX('İzin Planı'!$I$6:$I$35,20-5)&lt;=('Özet'!$C$6+7*43)+6,INDEX('İzin Planı'!$J$6:$J$35,20-5)&gt;=('Özet'!$C$6+7*43)),AND(N(INDEX('İzin Planı'!$L$6:$L$35,20-5))&gt;0,INDEX('İzin Planı'!$L$6:$L$35,20-5)&lt;=('Özet'!$C$6+7*43)+6,INDEX('İzin Planı'!$M$6:$M$35,20-5)&gt;=('Özet'!$C$6+7*43))),"İ",""))</f>
      </c>
      <c r="AU20" s="13">
        <f>IF(INDEX('İzin Planı'!$C$6:$C$35,20-5)="","",IF(OR(AND(N(INDEX('İzin Planı'!$F$6:$F$35,20-5))&gt;0,INDEX('İzin Planı'!$F$6:$F$35,20-5)&lt;=('Özet'!$C$6+7*44)+6,INDEX('İzin Planı'!$G$6:$G$35,20-5)&gt;=('Özet'!$C$6+7*44)),AND(N(INDEX('İzin Planı'!$I$6:$I$35,20-5))&gt;0,INDEX('İzin Planı'!$I$6:$I$35,20-5)&lt;=('Özet'!$C$6+7*44)+6,INDEX('İzin Planı'!$J$6:$J$35,20-5)&gt;=('Özet'!$C$6+7*44)),AND(N(INDEX('İzin Planı'!$L$6:$L$35,20-5))&gt;0,INDEX('İzin Planı'!$L$6:$L$35,20-5)&lt;=('Özet'!$C$6+7*44)+6,INDEX('İzin Planı'!$M$6:$M$35,20-5)&gt;=('Özet'!$C$6+7*44))),"İ",""))</f>
      </c>
      <c r="AV20" s="13">
        <f>IF(INDEX('İzin Planı'!$C$6:$C$35,20-5)="","",IF(OR(AND(N(INDEX('İzin Planı'!$F$6:$F$35,20-5))&gt;0,INDEX('İzin Planı'!$F$6:$F$35,20-5)&lt;=('Özet'!$C$6+7*45)+6,INDEX('İzin Planı'!$G$6:$G$35,20-5)&gt;=('Özet'!$C$6+7*45)),AND(N(INDEX('İzin Planı'!$I$6:$I$35,20-5))&gt;0,INDEX('İzin Planı'!$I$6:$I$35,20-5)&lt;=('Özet'!$C$6+7*45)+6,INDEX('İzin Planı'!$J$6:$J$35,20-5)&gt;=('Özet'!$C$6+7*45)),AND(N(INDEX('İzin Planı'!$L$6:$L$35,20-5))&gt;0,INDEX('İzin Planı'!$L$6:$L$35,20-5)&lt;=('Özet'!$C$6+7*45)+6,INDEX('İzin Planı'!$M$6:$M$35,20-5)&gt;=('Özet'!$C$6+7*45))),"İ",""))</f>
      </c>
      <c r="AW20" s="13">
        <f>IF(INDEX('İzin Planı'!$C$6:$C$35,20-5)="","",IF(OR(AND(N(INDEX('İzin Planı'!$F$6:$F$35,20-5))&gt;0,INDEX('İzin Planı'!$F$6:$F$35,20-5)&lt;=('Özet'!$C$6+7*46)+6,INDEX('İzin Planı'!$G$6:$G$35,20-5)&gt;=('Özet'!$C$6+7*46)),AND(N(INDEX('İzin Planı'!$I$6:$I$35,20-5))&gt;0,INDEX('İzin Planı'!$I$6:$I$35,20-5)&lt;=('Özet'!$C$6+7*46)+6,INDEX('İzin Planı'!$J$6:$J$35,20-5)&gt;=('Özet'!$C$6+7*46)),AND(N(INDEX('İzin Planı'!$L$6:$L$35,20-5))&gt;0,INDEX('İzin Planı'!$L$6:$L$35,20-5)&lt;=('Özet'!$C$6+7*46)+6,INDEX('İzin Planı'!$M$6:$M$35,20-5)&gt;=('Özet'!$C$6+7*46))),"İ",""))</f>
      </c>
      <c r="AX20" s="13">
        <f>IF(INDEX('İzin Planı'!$C$6:$C$35,20-5)="","",IF(OR(AND(N(INDEX('İzin Planı'!$F$6:$F$35,20-5))&gt;0,INDEX('İzin Planı'!$F$6:$F$35,20-5)&lt;=('Özet'!$C$6+7*47)+6,INDEX('İzin Planı'!$G$6:$G$35,20-5)&gt;=('Özet'!$C$6+7*47)),AND(N(INDEX('İzin Planı'!$I$6:$I$35,20-5))&gt;0,INDEX('İzin Planı'!$I$6:$I$35,20-5)&lt;=('Özet'!$C$6+7*47)+6,INDEX('İzin Planı'!$J$6:$J$35,20-5)&gt;=('Özet'!$C$6+7*47)),AND(N(INDEX('İzin Planı'!$L$6:$L$35,20-5))&gt;0,INDEX('İzin Planı'!$L$6:$L$35,20-5)&lt;=('Özet'!$C$6+7*47)+6,INDEX('İzin Planı'!$M$6:$M$35,20-5)&gt;=('Özet'!$C$6+7*47))),"İ",""))</f>
      </c>
      <c r="AY20" s="13">
        <f>IF(INDEX('İzin Planı'!$C$6:$C$35,20-5)="","",IF(OR(AND(N(INDEX('İzin Planı'!$F$6:$F$35,20-5))&gt;0,INDEX('İzin Planı'!$F$6:$F$35,20-5)&lt;=('Özet'!$C$6+7*48)+6,INDEX('İzin Planı'!$G$6:$G$35,20-5)&gt;=('Özet'!$C$6+7*48)),AND(N(INDEX('İzin Planı'!$I$6:$I$35,20-5))&gt;0,INDEX('İzin Planı'!$I$6:$I$35,20-5)&lt;=('Özet'!$C$6+7*48)+6,INDEX('İzin Planı'!$J$6:$J$35,20-5)&gt;=('Özet'!$C$6+7*48)),AND(N(INDEX('İzin Planı'!$L$6:$L$35,20-5))&gt;0,INDEX('İzin Planı'!$L$6:$L$35,20-5)&lt;=('Özet'!$C$6+7*48)+6,INDEX('İzin Planı'!$M$6:$M$35,20-5)&gt;=('Özet'!$C$6+7*48))),"İ",""))</f>
      </c>
      <c r="AZ20" s="13">
        <f>IF(INDEX('İzin Planı'!$C$6:$C$35,20-5)="","",IF(OR(AND(N(INDEX('İzin Planı'!$F$6:$F$35,20-5))&gt;0,INDEX('İzin Planı'!$F$6:$F$35,20-5)&lt;=('Özet'!$C$6+7*49)+6,INDEX('İzin Planı'!$G$6:$G$35,20-5)&gt;=('Özet'!$C$6+7*49)),AND(N(INDEX('İzin Planı'!$I$6:$I$35,20-5))&gt;0,INDEX('İzin Planı'!$I$6:$I$35,20-5)&lt;=('Özet'!$C$6+7*49)+6,INDEX('İzin Planı'!$J$6:$J$35,20-5)&gt;=('Özet'!$C$6+7*49)),AND(N(INDEX('İzin Planı'!$L$6:$L$35,20-5))&gt;0,INDEX('İzin Planı'!$L$6:$L$35,20-5)&lt;=('Özet'!$C$6+7*49)+6,INDEX('İzin Planı'!$M$6:$M$35,20-5)&gt;=('Özet'!$C$6+7*49))),"İ",""))</f>
      </c>
      <c r="BA20" s="13">
        <f>IF(INDEX('İzin Planı'!$C$6:$C$35,20-5)="","",IF(OR(AND(N(INDEX('İzin Planı'!$F$6:$F$35,20-5))&gt;0,INDEX('İzin Planı'!$F$6:$F$35,20-5)&lt;=('Özet'!$C$6+7*50)+6,INDEX('İzin Planı'!$G$6:$G$35,20-5)&gt;=('Özet'!$C$6+7*50)),AND(N(INDEX('İzin Planı'!$I$6:$I$35,20-5))&gt;0,INDEX('İzin Planı'!$I$6:$I$35,20-5)&lt;=('Özet'!$C$6+7*50)+6,INDEX('İzin Planı'!$J$6:$J$35,20-5)&gt;=('Özet'!$C$6+7*50)),AND(N(INDEX('İzin Planı'!$L$6:$L$35,20-5))&gt;0,INDEX('İzin Planı'!$L$6:$L$35,20-5)&lt;=('Özet'!$C$6+7*50)+6,INDEX('İzin Planı'!$M$6:$M$35,20-5)&gt;=('Özet'!$C$6+7*50))),"İ",""))</f>
      </c>
      <c r="BB20" s="13">
        <f>IF(INDEX('İzin Planı'!$C$6:$C$35,20-5)="","",IF(OR(AND(N(INDEX('İzin Planı'!$F$6:$F$35,20-5))&gt;0,INDEX('İzin Planı'!$F$6:$F$35,20-5)&lt;=('Özet'!$C$6+7*51)+6,INDEX('İzin Planı'!$G$6:$G$35,20-5)&gt;=('Özet'!$C$6+7*51)),AND(N(INDEX('İzin Planı'!$I$6:$I$35,20-5))&gt;0,INDEX('İzin Planı'!$I$6:$I$35,20-5)&lt;=('Özet'!$C$6+7*51)+6,INDEX('İzin Planı'!$J$6:$J$35,20-5)&gt;=('Özet'!$C$6+7*51)),AND(N(INDEX('İzin Planı'!$L$6:$L$35,20-5))&gt;0,INDEX('İzin Planı'!$L$6:$L$35,20-5)&lt;=('Özet'!$C$6+7*51)+6,INDEX('İzin Planı'!$M$6:$M$35,20-5)&gt;=('Özet'!$C$6+7*51))),"İ",""))</f>
      </c>
      <c r="BC20" s="13">
        <f>IF(INDEX('İzin Planı'!$C$6:$C$35,20-5)="","",IF(OR(AND(N(INDEX('İzin Planı'!$F$6:$F$35,20-5))&gt;0,INDEX('İzin Planı'!$F$6:$F$35,20-5)&lt;=('Özet'!$C$6+7*52)+6,INDEX('İzin Planı'!$G$6:$G$35,20-5)&gt;=('Özet'!$C$6+7*52)),AND(N(INDEX('İzin Planı'!$I$6:$I$35,20-5))&gt;0,INDEX('İzin Planı'!$I$6:$I$35,20-5)&lt;=('Özet'!$C$6+7*52)+6,INDEX('İzin Planı'!$J$6:$J$35,20-5)&gt;=('Özet'!$C$6+7*52)),AND(N(INDEX('İzin Planı'!$L$6:$L$35,20-5))&gt;0,INDEX('İzin Planı'!$L$6:$L$35,20-5)&lt;=('Özet'!$C$6+7*52)+6,INDEX('İzin Planı'!$M$6:$M$35,20-5)&gt;=('Özet'!$C$6+7*52))),"İ",""))</f>
      </c>
    </row>
    <row r="21" ht="18" customHeight="1" spans="1:55" x14ac:dyDescent="0.25">
      <c r="A21" s="6">
        <v>16</v>
      </c>
      <c r="B21" s="13">
        <f>IF(INDEX('İzin Planı'!$C$6:$C$35,21-5)="","",INDEX('İzin Planı'!$C$6:$C$35,21-5))</f>
      </c>
      <c r="C21" s="13">
        <f>IF(INDEX('İzin Planı'!$C$6:$C$35,21-5)="","",IF(OR(AND(N(INDEX('İzin Planı'!$F$6:$F$35,21-5))&gt;0,INDEX('İzin Planı'!$F$6:$F$35,21-5)&lt;=('Özet'!$C$6+7*0)+6,INDEX('İzin Planı'!$G$6:$G$35,21-5)&gt;=('Özet'!$C$6+7*0)),AND(N(INDEX('İzin Planı'!$I$6:$I$35,21-5))&gt;0,INDEX('İzin Planı'!$I$6:$I$35,21-5)&lt;=('Özet'!$C$6+7*0)+6,INDEX('İzin Planı'!$J$6:$J$35,21-5)&gt;=('Özet'!$C$6+7*0)),AND(N(INDEX('İzin Planı'!$L$6:$L$35,21-5))&gt;0,INDEX('İzin Planı'!$L$6:$L$35,21-5)&lt;=('Özet'!$C$6+7*0)+6,INDEX('İzin Planı'!$M$6:$M$35,21-5)&gt;=('Özet'!$C$6+7*0))),"İ",""))</f>
      </c>
      <c r="D21" s="13">
        <f>IF(INDEX('İzin Planı'!$C$6:$C$35,21-5)="","",IF(OR(AND(N(INDEX('İzin Planı'!$F$6:$F$35,21-5))&gt;0,INDEX('İzin Planı'!$F$6:$F$35,21-5)&lt;=('Özet'!$C$6+7*1)+6,INDEX('İzin Planı'!$G$6:$G$35,21-5)&gt;=('Özet'!$C$6+7*1)),AND(N(INDEX('İzin Planı'!$I$6:$I$35,21-5))&gt;0,INDEX('İzin Planı'!$I$6:$I$35,21-5)&lt;=('Özet'!$C$6+7*1)+6,INDEX('İzin Planı'!$J$6:$J$35,21-5)&gt;=('Özet'!$C$6+7*1)),AND(N(INDEX('İzin Planı'!$L$6:$L$35,21-5))&gt;0,INDEX('İzin Planı'!$L$6:$L$35,21-5)&lt;=('Özet'!$C$6+7*1)+6,INDEX('İzin Planı'!$M$6:$M$35,21-5)&gt;=('Özet'!$C$6+7*1))),"İ",""))</f>
      </c>
      <c r="E21" s="13">
        <f>IF(INDEX('İzin Planı'!$C$6:$C$35,21-5)="","",IF(OR(AND(N(INDEX('İzin Planı'!$F$6:$F$35,21-5))&gt;0,INDEX('İzin Planı'!$F$6:$F$35,21-5)&lt;=('Özet'!$C$6+7*2)+6,INDEX('İzin Planı'!$G$6:$G$35,21-5)&gt;=('Özet'!$C$6+7*2)),AND(N(INDEX('İzin Planı'!$I$6:$I$35,21-5))&gt;0,INDEX('İzin Planı'!$I$6:$I$35,21-5)&lt;=('Özet'!$C$6+7*2)+6,INDEX('İzin Planı'!$J$6:$J$35,21-5)&gt;=('Özet'!$C$6+7*2)),AND(N(INDEX('İzin Planı'!$L$6:$L$35,21-5))&gt;0,INDEX('İzin Planı'!$L$6:$L$35,21-5)&lt;=('Özet'!$C$6+7*2)+6,INDEX('İzin Planı'!$M$6:$M$35,21-5)&gt;=('Özet'!$C$6+7*2))),"İ",""))</f>
      </c>
      <c r="F21" s="13">
        <f>IF(INDEX('İzin Planı'!$C$6:$C$35,21-5)="","",IF(OR(AND(N(INDEX('İzin Planı'!$F$6:$F$35,21-5))&gt;0,INDEX('İzin Planı'!$F$6:$F$35,21-5)&lt;=('Özet'!$C$6+7*3)+6,INDEX('İzin Planı'!$G$6:$G$35,21-5)&gt;=('Özet'!$C$6+7*3)),AND(N(INDEX('İzin Planı'!$I$6:$I$35,21-5))&gt;0,INDEX('İzin Planı'!$I$6:$I$35,21-5)&lt;=('Özet'!$C$6+7*3)+6,INDEX('İzin Planı'!$J$6:$J$35,21-5)&gt;=('Özet'!$C$6+7*3)),AND(N(INDEX('İzin Planı'!$L$6:$L$35,21-5))&gt;0,INDEX('İzin Planı'!$L$6:$L$35,21-5)&lt;=('Özet'!$C$6+7*3)+6,INDEX('İzin Planı'!$M$6:$M$35,21-5)&gt;=('Özet'!$C$6+7*3))),"İ",""))</f>
      </c>
      <c r="G21" s="13">
        <f>IF(INDEX('İzin Planı'!$C$6:$C$35,21-5)="","",IF(OR(AND(N(INDEX('İzin Planı'!$F$6:$F$35,21-5))&gt;0,INDEX('İzin Planı'!$F$6:$F$35,21-5)&lt;=('Özet'!$C$6+7*4)+6,INDEX('İzin Planı'!$G$6:$G$35,21-5)&gt;=('Özet'!$C$6+7*4)),AND(N(INDEX('İzin Planı'!$I$6:$I$35,21-5))&gt;0,INDEX('İzin Planı'!$I$6:$I$35,21-5)&lt;=('Özet'!$C$6+7*4)+6,INDEX('İzin Planı'!$J$6:$J$35,21-5)&gt;=('Özet'!$C$6+7*4)),AND(N(INDEX('İzin Planı'!$L$6:$L$35,21-5))&gt;0,INDEX('İzin Planı'!$L$6:$L$35,21-5)&lt;=('Özet'!$C$6+7*4)+6,INDEX('İzin Planı'!$M$6:$M$35,21-5)&gt;=('Özet'!$C$6+7*4))),"İ",""))</f>
      </c>
      <c r="H21" s="13">
        <f>IF(INDEX('İzin Planı'!$C$6:$C$35,21-5)="","",IF(OR(AND(N(INDEX('İzin Planı'!$F$6:$F$35,21-5))&gt;0,INDEX('İzin Planı'!$F$6:$F$35,21-5)&lt;=('Özet'!$C$6+7*5)+6,INDEX('İzin Planı'!$G$6:$G$35,21-5)&gt;=('Özet'!$C$6+7*5)),AND(N(INDEX('İzin Planı'!$I$6:$I$35,21-5))&gt;0,INDEX('İzin Planı'!$I$6:$I$35,21-5)&lt;=('Özet'!$C$6+7*5)+6,INDEX('İzin Planı'!$J$6:$J$35,21-5)&gt;=('Özet'!$C$6+7*5)),AND(N(INDEX('İzin Planı'!$L$6:$L$35,21-5))&gt;0,INDEX('İzin Planı'!$L$6:$L$35,21-5)&lt;=('Özet'!$C$6+7*5)+6,INDEX('İzin Planı'!$M$6:$M$35,21-5)&gt;=('Özet'!$C$6+7*5))),"İ",""))</f>
      </c>
      <c r="I21" s="13">
        <f>IF(INDEX('İzin Planı'!$C$6:$C$35,21-5)="","",IF(OR(AND(N(INDEX('İzin Planı'!$F$6:$F$35,21-5))&gt;0,INDEX('İzin Planı'!$F$6:$F$35,21-5)&lt;=('Özet'!$C$6+7*6)+6,INDEX('İzin Planı'!$G$6:$G$35,21-5)&gt;=('Özet'!$C$6+7*6)),AND(N(INDEX('İzin Planı'!$I$6:$I$35,21-5))&gt;0,INDEX('İzin Planı'!$I$6:$I$35,21-5)&lt;=('Özet'!$C$6+7*6)+6,INDEX('İzin Planı'!$J$6:$J$35,21-5)&gt;=('Özet'!$C$6+7*6)),AND(N(INDEX('İzin Planı'!$L$6:$L$35,21-5))&gt;0,INDEX('İzin Planı'!$L$6:$L$35,21-5)&lt;=('Özet'!$C$6+7*6)+6,INDEX('İzin Planı'!$M$6:$M$35,21-5)&gt;=('Özet'!$C$6+7*6))),"İ",""))</f>
      </c>
      <c r="J21" s="13">
        <f>IF(INDEX('İzin Planı'!$C$6:$C$35,21-5)="","",IF(OR(AND(N(INDEX('İzin Planı'!$F$6:$F$35,21-5))&gt;0,INDEX('İzin Planı'!$F$6:$F$35,21-5)&lt;=('Özet'!$C$6+7*7)+6,INDEX('İzin Planı'!$G$6:$G$35,21-5)&gt;=('Özet'!$C$6+7*7)),AND(N(INDEX('İzin Planı'!$I$6:$I$35,21-5))&gt;0,INDEX('İzin Planı'!$I$6:$I$35,21-5)&lt;=('Özet'!$C$6+7*7)+6,INDEX('İzin Planı'!$J$6:$J$35,21-5)&gt;=('Özet'!$C$6+7*7)),AND(N(INDEX('İzin Planı'!$L$6:$L$35,21-5))&gt;0,INDEX('İzin Planı'!$L$6:$L$35,21-5)&lt;=('Özet'!$C$6+7*7)+6,INDEX('İzin Planı'!$M$6:$M$35,21-5)&gt;=('Özet'!$C$6+7*7))),"İ",""))</f>
      </c>
      <c r="K21" s="13">
        <f>IF(INDEX('İzin Planı'!$C$6:$C$35,21-5)="","",IF(OR(AND(N(INDEX('İzin Planı'!$F$6:$F$35,21-5))&gt;0,INDEX('İzin Planı'!$F$6:$F$35,21-5)&lt;=('Özet'!$C$6+7*8)+6,INDEX('İzin Planı'!$G$6:$G$35,21-5)&gt;=('Özet'!$C$6+7*8)),AND(N(INDEX('İzin Planı'!$I$6:$I$35,21-5))&gt;0,INDEX('İzin Planı'!$I$6:$I$35,21-5)&lt;=('Özet'!$C$6+7*8)+6,INDEX('İzin Planı'!$J$6:$J$35,21-5)&gt;=('Özet'!$C$6+7*8)),AND(N(INDEX('İzin Planı'!$L$6:$L$35,21-5))&gt;0,INDEX('İzin Planı'!$L$6:$L$35,21-5)&lt;=('Özet'!$C$6+7*8)+6,INDEX('İzin Planı'!$M$6:$M$35,21-5)&gt;=('Özet'!$C$6+7*8))),"İ",""))</f>
      </c>
      <c r="L21" s="13">
        <f>IF(INDEX('İzin Planı'!$C$6:$C$35,21-5)="","",IF(OR(AND(N(INDEX('İzin Planı'!$F$6:$F$35,21-5))&gt;0,INDEX('İzin Planı'!$F$6:$F$35,21-5)&lt;=('Özet'!$C$6+7*9)+6,INDEX('İzin Planı'!$G$6:$G$35,21-5)&gt;=('Özet'!$C$6+7*9)),AND(N(INDEX('İzin Planı'!$I$6:$I$35,21-5))&gt;0,INDEX('İzin Planı'!$I$6:$I$35,21-5)&lt;=('Özet'!$C$6+7*9)+6,INDEX('İzin Planı'!$J$6:$J$35,21-5)&gt;=('Özet'!$C$6+7*9)),AND(N(INDEX('İzin Planı'!$L$6:$L$35,21-5))&gt;0,INDEX('İzin Planı'!$L$6:$L$35,21-5)&lt;=('Özet'!$C$6+7*9)+6,INDEX('İzin Planı'!$M$6:$M$35,21-5)&gt;=('Özet'!$C$6+7*9))),"İ",""))</f>
      </c>
      <c r="M21" s="13">
        <f>IF(INDEX('İzin Planı'!$C$6:$C$35,21-5)="","",IF(OR(AND(N(INDEX('İzin Planı'!$F$6:$F$35,21-5))&gt;0,INDEX('İzin Planı'!$F$6:$F$35,21-5)&lt;=('Özet'!$C$6+7*10)+6,INDEX('İzin Planı'!$G$6:$G$35,21-5)&gt;=('Özet'!$C$6+7*10)),AND(N(INDEX('İzin Planı'!$I$6:$I$35,21-5))&gt;0,INDEX('İzin Planı'!$I$6:$I$35,21-5)&lt;=('Özet'!$C$6+7*10)+6,INDEX('İzin Planı'!$J$6:$J$35,21-5)&gt;=('Özet'!$C$6+7*10)),AND(N(INDEX('İzin Planı'!$L$6:$L$35,21-5))&gt;0,INDEX('İzin Planı'!$L$6:$L$35,21-5)&lt;=('Özet'!$C$6+7*10)+6,INDEX('İzin Planı'!$M$6:$M$35,21-5)&gt;=('Özet'!$C$6+7*10))),"İ",""))</f>
      </c>
      <c r="N21" s="13">
        <f>IF(INDEX('İzin Planı'!$C$6:$C$35,21-5)="","",IF(OR(AND(N(INDEX('İzin Planı'!$F$6:$F$35,21-5))&gt;0,INDEX('İzin Planı'!$F$6:$F$35,21-5)&lt;=('Özet'!$C$6+7*11)+6,INDEX('İzin Planı'!$G$6:$G$35,21-5)&gt;=('Özet'!$C$6+7*11)),AND(N(INDEX('İzin Planı'!$I$6:$I$35,21-5))&gt;0,INDEX('İzin Planı'!$I$6:$I$35,21-5)&lt;=('Özet'!$C$6+7*11)+6,INDEX('İzin Planı'!$J$6:$J$35,21-5)&gt;=('Özet'!$C$6+7*11)),AND(N(INDEX('İzin Planı'!$L$6:$L$35,21-5))&gt;0,INDEX('İzin Planı'!$L$6:$L$35,21-5)&lt;=('Özet'!$C$6+7*11)+6,INDEX('İzin Planı'!$M$6:$M$35,21-5)&gt;=('Özet'!$C$6+7*11))),"İ",""))</f>
      </c>
      <c r="O21" s="13">
        <f>IF(INDEX('İzin Planı'!$C$6:$C$35,21-5)="","",IF(OR(AND(N(INDEX('İzin Planı'!$F$6:$F$35,21-5))&gt;0,INDEX('İzin Planı'!$F$6:$F$35,21-5)&lt;=('Özet'!$C$6+7*12)+6,INDEX('İzin Planı'!$G$6:$G$35,21-5)&gt;=('Özet'!$C$6+7*12)),AND(N(INDEX('İzin Planı'!$I$6:$I$35,21-5))&gt;0,INDEX('İzin Planı'!$I$6:$I$35,21-5)&lt;=('Özet'!$C$6+7*12)+6,INDEX('İzin Planı'!$J$6:$J$35,21-5)&gt;=('Özet'!$C$6+7*12)),AND(N(INDEX('İzin Planı'!$L$6:$L$35,21-5))&gt;0,INDEX('İzin Planı'!$L$6:$L$35,21-5)&lt;=('Özet'!$C$6+7*12)+6,INDEX('İzin Planı'!$M$6:$M$35,21-5)&gt;=('Özet'!$C$6+7*12))),"İ",""))</f>
      </c>
      <c r="P21" s="13">
        <f>IF(INDEX('İzin Planı'!$C$6:$C$35,21-5)="","",IF(OR(AND(N(INDEX('İzin Planı'!$F$6:$F$35,21-5))&gt;0,INDEX('İzin Planı'!$F$6:$F$35,21-5)&lt;=('Özet'!$C$6+7*13)+6,INDEX('İzin Planı'!$G$6:$G$35,21-5)&gt;=('Özet'!$C$6+7*13)),AND(N(INDEX('İzin Planı'!$I$6:$I$35,21-5))&gt;0,INDEX('İzin Planı'!$I$6:$I$35,21-5)&lt;=('Özet'!$C$6+7*13)+6,INDEX('İzin Planı'!$J$6:$J$35,21-5)&gt;=('Özet'!$C$6+7*13)),AND(N(INDEX('İzin Planı'!$L$6:$L$35,21-5))&gt;0,INDEX('İzin Planı'!$L$6:$L$35,21-5)&lt;=('Özet'!$C$6+7*13)+6,INDEX('İzin Planı'!$M$6:$M$35,21-5)&gt;=('Özet'!$C$6+7*13))),"İ",""))</f>
      </c>
      <c r="Q21" s="13">
        <f>IF(INDEX('İzin Planı'!$C$6:$C$35,21-5)="","",IF(OR(AND(N(INDEX('İzin Planı'!$F$6:$F$35,21-5))&gt;0,INDEX('İzin Planı'!$F$6:$F$35,21-5)&lt;=('Özet'!$C$6+7*14)+6,INDEX('İzin Planı'!$G$6:$G$35,21-5)&gt;=('Özet'!$C$6+7*14)),AND(N(INDEX('İzin Planı'!$I$6:$I$35,21-5))&gt;0,INDEX('İzin Planı'!$I$6:$I$35,21-5)&lt;=('Özet'!$C$6+7*14)+6,INDEX('İzin Planı'!$J$6:$J$35,21-5)&gt;=('Özet'!$C$6+7*14)),AND(N(INDEX('İzin Planı'!$L$6:$L$35,21-5))&gt;0,INDEX('İzin Planı'!$L$6:$L$35,21-5)&lt;=('Özet'!$C$6+7*14)+6,INDEX('İzin Planı'!$M$6:$M$35,21-5)&gt;=('Özet'!$C$6+7*14))),"İ",""))</f>
      </c>
      <c r="R21" s="13">
        <f>IF(INDEX('İzin Planı'!$C$6:$C$35,21-5)="","",IF(OR(AND(N(INDEX('İzin Planı'!$F$6:$F$35,21-5))&gt;0,INDEX('İzin Planı'!$F$6:$F$35,21-5)&lt;=('Özet'!$C$6+7*15)+6,INDEX('İzin Planı'!$G$6:$G$35,21-5)&gt;=('Özet'!$C$6+7*15)),AND(N(INDEX('İzin Planı'!$I$6:$I$35,21-5))&gt;0,INDEX('İzin Planı'!$I$6:$I$35,21-5)&lt;=('Özet'!$C$6+7*15)+6,INDEX('İzin Planı'!$J$6:$J$35,21-5)&gt;=('Özet'!$C$6+7*15)),AND(N(INDEX('İzin Planı'!$L$6:$L$35,21-5))&gt;0,INDEX('İzin Planı'!$L$6:$L$35,21-5)&lt;=('Özet'!$C$6+7*15)+6,INDEX('İzin Planı'!$M$6:$M$35,21-5)&gt;=('Özet'!$C$6+7*15))),"İ",""))</f>
      </c>
      <c r="S21" s="13">
        <f>IF(INDEX('İzin Planı'!$C$6:$C$35,21-5)="","",IF(OR(AND(N(INDEX('İzin Planı'!$F$6:$F$35,21-5))&gt;0,INDEX('İzin Planı'!$F$6:$F$35,21-5)&lt;=('Özet'!$C$6+7*16)+6,INDEX('İzin Planı'!$G$6:$G$35,21-5)&gt;=('Özet'!$C$6+7*16)),AND(N(INDEX('İzin Planı'!$I$6:$I$35,21-5))&gt;0,INDEX('İzin Planı'!$I$6:$I$35,21-5)&lt;=('Özet'!$C$6+7*16)+6,INDEX('İzin Planı'!$J$6:$J$35,21-5)&gt;=('Özet'!$C$6+7*16)),AND(N(INDEX('İzin Planı'!$L$6:$L$35,21-5))&gt;0,INDEX('İzin Planı'!$L$6:$L$35,21-5)&lt;=('Özet'!$C$6+7*16)+6,INDEX('İzin Planı'!$M$6:$M$35,21-5)&gt;=('Özet'!$C$6+7*16))),"İ",""))</f>
      </c>
      <c r="T21" s="13">
        <f>IF(INDEX('İzin Planı'!$C$6:$C$35,21-5)="","",IF(OR(AND(N(INDEX('İzin Planı'!$F$6:$F$35,21-5))&gt;0,INDEX('İzin Planı'!$F$6:$F$35,21-5)&lt;=('Özet'!$C$6+7*17)+6,INDEX('İzin Planı'!$G$6:$G$35,21-5)&gt;=('Özet'!$C$6+7*17)),AND(N(INDEX('İzin Planı'!$I$6:$I$35,21-5))&gt;0,INDEX('İzin Planı'!$I$6:$I$35,21-5)&lt;=('Özet'!$C$6+7*17)+6,INDEX('İzin Planı'!$J$6:$J$35,21-5)&gt;=('Özet'!$C$6+7*17)),AND(N(INDEX('İzin Planı'!$L$6:$L$35,21-5))&gt;0,INDEX('İzin Planı'!$L$6:$L$35,21-5)&lt;=('Özet'!$C$6+7*17)+6,INDEX('İzin Planı'!$M$6:$M$35,21-5)&gt;=('Özet'!$C$6+7*17))),"İ",""))</f>
      </c>
      <c r="U21" s="13">
        <f>IF(INDEX('İzin Planı'!$C$6:$C$35,21-5)="","",IF(OR(AND(N(INDEX('İzin Planı'!$F$6:$F$35,21-5))&gt;0,INDEX('İzin Planı'!$F$6:$F$35,21-5)&lt;=('Özet'!$C$6+7*18)+6,INDEX('İzin Planı'!$G$6:$G$35,21-5)&gt;=('Özet'!$C$6+7*18)),AND(N(INDEX('İzin Planı'!$I$6:$I$35,21-5))&gt;0,INDEX('İzin Planı'!$I$6:$I$35,21-5)&lt;=('Özet'!$C$6+7*18)+6,INDEX('İzin Planı'!$J$6:$J$35,21-5)&gt;=('Özet'!$C$6+7*18)),AND(N(INDEX('İzin Planı'!$L$6:$L$35,21-5))&gt;0,INDEX('İzin Planı'!$L$6:$L$35,21-5)&lt;=('Özet'!$C$6+7*18)+6,INDEX('İzin Planı'!$M$6:$M$35,21-5)&gt;=('Özet'!$C$6+7*18))),"İ",""))</f>
      </c>
      <c r="V21" s="13">
        <f>IF(INDEX('İzin Planı'!$C$6:$C$35,21-5)="","",IF(OR(AND(N(INDEX('İzin Planı'!$F$6:$F$35,21-5))&gt;0,INDEX('İzin Planı'!$F$6:$F$35,21-5)&lt;=('Özet'!$C$6+7*19)+6,INDEX('İzin Planı'!$G$6:$G$35,21-5)&gt;=('Özet'!$C$6+7*19)),AND(N(INDEX('İzin Planı'!$I$6:$I$35,21-5))&gt;0,INDEX('İzin Planı'!$I$6:$I$35,21-5)&lt;=('Özet'!$C$6+7*19)+6,INDEX('İzin Planı'!$J$6:$J$35,21-5)&gt;=('Özet'!$C$6+7*19)),AND(N(INDEX('İzin Planı'!$L$6:$L$35,21-5))&gt;0,INDEX('İzin Planı'!$L$6:$L$35,21-5)&lt;=('Özet'!$C$6+7*19)+6,INDEX('İzin Planı'!$M$6:$M$35,21-5)&gt;=('Özet'!$C$6+7*19))),"İ",""))</f>
      </c>
      <c r="W21" s="13">
        <f>IF(INDEX('İzin Planı'!$C$6:$C$35,21-5)="","",IF(OR(AND(N(INDEX('İzin Planı'!$F$6:$F$35,21-5))&gt;0,INDEX('İzin Planı'!$F$6:$F$35,21-5)&lt;=('Özet'!$C$6+7*20)+6,INDEX('İzin Planı'!$G$6:$G$35,21-5)&gt;=('Özet'!$C$6+7*20)),AND(N(INDEX('İzin Planı'!$I$6:$I$35,21-5))&gt;0,INDEX('İzin Planı'!$I$6:$I$35,21-5)&lt;=('Özet'!$C$6+7*20)+6,INDEX('İzin Planı'!$J$6:$J$35,21-5)&gt;=('Özet'!$C$6+7*20)),AND(N(INDEX('İzin Planı'!$L$6:$L$35,21-5))&gt;0,INDEX('İzin Planı'!$L$6:$L$35,21-5)&lt;=('Özet'!$C$6+7*20)+6,INDEX('İzin Planı'!$M$6:$M$35,21-5)&gt;=('Özet'!$C$6+7*20))),"İ",""))</f>
      </c>
      <c r="X21" s="13">
        <f>IF(INDEX('İzin Planı'!$C$6:$C$35,21-5)="","",IF(OR(AND(N(INDEX('İzin Planı'!$F$6:$F$35,21-5))&gt;0,INDEX('İzin Planı'!$F$6:$F$35,21-5)&lt;=('Özet'!$C$6+7*21)+6,INDEX('İzin Planı'!$G$6:$G$35,21-5)&gt;=('Özet'!$C$6+7*21)),AND(N(INDEX('İzin Planı'!$I$6:$I$35,21-5))&gt;0,INDEX('İzin Planı'!$I$6:$I$35,21-5)&lt;=('Özet'!$C$6+7*21)+6,INDEX('İzin Planı'!$J$6:$J$35,21-5)&gt;=('Özet'!$C$6+7*21)),AND(N(INDEX('İzin Planı'!$L$6:$L$35,21-5))&gt;0,INDEX('İzin Planı'!$L$6:$L$35,21-5)&lt;=('Özet'!$C$6+7*21)+6,INDEX('İzin Planı'!$M$6:$M$35,21-5)&gt;=('Özet'!$C$6+7*21))),"İ",""))</f>
      </c>
      <c r="Y21" s="13">
        <f>IF(INDEX('İzin Planı'!$C$6:$C$35,21-5)="","",IF(OR(AND(N(INDEX('İzin Planı'!$F$6:$F$35,21-5))&gt;0,INDEX('İzin Planı'!$F$6:$F$35,21-5)&lt;=('Özet'!$C$6+7*22)+6,INDEX('İzin Planı'!$G$6:$G$35,21-5)&gt;=('Özet'!$C$6+7*22)),AND(N(INDEX('İzin Planı'!$I$6:$I$35,21-5))&gt;0,INDEX('İzin Planı'!$I$6:$I$35,21-5)&lt;=('Özet'!$C$6+7*22)+6,INDEX('İzin Planı'!$J$6:$J$35,21-5)&gt;=('Özet'!$C$6+7*22)),AND(N(INDEX('İzin Planı'!$L$6:$L$35,21-5))&gt;0,INDEX('İzin Planı'!$L$6:$L$35,21-5)&lt;=('Özet'!$C$6+7*22)+6,INDEX('İzin Planı'!$M$6:$M$35,21-5)&gt;=('Özet'!$C$6+7*22))),"İ",""))</f>
      </c>
      <c r="Z21" s="13">
        <f>IF(INDEX('İzin Planı'!$C$6:$C$35,21-5)="","",IF(OR(AND(N(INDEX('İzin Planı'!$F$6:$F$35,21-5))&gt;0,INDEX('İzin Planı'!$F$6:$F$35,21-5)&lt;=('Özet'!$C$6+7*23)+6,INDEX('İzin Planı'!$G$6:$G$35,21-5)&gt;=('Özet'!$C$6+7*23)),AND(N(INDEX('İzin Planı'!$I$6:$I$35,21-5))&gt;0,INDEX('İzin Planı'!$I$6:$I$35,21-5)&lt;=('Özet'!$C$6+7*23)+6,INDEX('İzin Planı'!$J$6:$J$35,21-5)&gt;=('Özet'!$C$6+7*23)),AND(N(INDEX('İzin Planı'!$L$6:$L$35,21-5))&gt;0,INDEX('İzin Planı'!$L$6:$L$35,21-5)&lt;=('Özet'!$C$6+7*23)+6,INDEX('İzin Planı'!$M$6:$M$35,21-5)&gt;=('Özet'!$C$6+7*23))),"İ",""))</f>
      </c>
      <c r="AA21" s="13">
        <f>IF(INDEX('İzin Planı'!$C$6:$C$35,21-5)="","",IF(OR(AND(N(INDEX('İzin Planı'!$F$6:$F$35,21-5))&gt;0,INDEX('İzin Planı'!$F$6:$F$35,21-5)&lt;=('Özet'!$C$6+7*24)+6,INDEX('İzin Planı'!$G$6:$G$35,21-5)&gt;=('Özet'!$C$6+7*24)),AND(N(INDEX('İzin Planı'!$I$6:$I$35,21-5))&gt;0,INDEX('İzin Planı'!$I$6:$I$35,21-5)&lt;=('Özet'!$C$6+7*24)+6,INDEX('İzin Planı'!$J$6:$J$35,21-5)&gt;=('Özet'!$C$6+7*24)),AND(N(INDEX('İzin Planı'!$L$6:$L$35,21-5))&gt;0,INDEX('İzin Planı'!$L$6:$L$35,21-5)&lt;=('Özet'!$C$6+7*24)+6,INDEX('İzin Planı'!$M$6:$M$35,21-5)&gt;=('Özet'!$C$6+7*24))),"İ",""))</f>
      </c>
      <c r="AB21" s="13">
        <f>IF(INDEX('İzin Planı'!$C$6:$C$35,21-5)="","",IF(OR(AND(N(INDEX('İzin Planı'!$F$6:$F$35,21-5))&gt;0,INDEX('İzin Planı'!$F$6:$F$35,21-5)&lt;=('Özet'!$C$6+7*25)+6,INDEX('İzin Planı'!$G$6:$G$35,21-5)&gt;=('Özet'!$C$6+7*25)),AND(N(INDEX('İzin Planı'!$I$6:$I$35,21-5))&gt;0,INDEX('İzin Planı'!$I$6:$I$35,21-5)&lt;=('Özet'!$C$6+7*25)+6,INDEX('İzin Planı'!$J$6:$J$35,21-5)&gt;=('Özet'!$C$6+7*25)),AND(N(INDEX('İzin Planı'!$L$6:$L$35,21-5))&gt;0,INDEX('İzin Planı'!$L$6:$L$35,21-5)&lt;=('Özet'!$C$6+7*25)+6,INDEX('İzin Planı'!$M$6:$M$35,21-5)&gt;=('Özet'!$C$6+7*25))),"İ",""))</f>
      </c>
      <c r="AC21" s="13">
        <f>IF(INDEX('İzin Planı'!$C$6:$C$35,21-5)="","",IF(OR(AND(N(INDEX('İzin Planı'!$F$6:$F$35,21-5))&gt;0,INDEX('İzin Planı'!$F$6:$F$35,21-5)&lt;=('Özet'!$C$6+7*26)+6,INDEX('İzin Planı'!$G$6:$G$35,21-5)&gt;=('Özet'!$C$6+7*26)),AND(N(INDEX('İzin Planı'!$I$6:$I$35,21-5))&gt;0,INDEX('İzin Planı'!$I$6:$I$35,21-5)&lt;=('Özet'!$C$6+7*26)+6,INDEX('İzin Planı'!$J$6:$J$35,21-5)&gt;=('Özet'!$C$6+7*26)),AND(N(INDEX('İzin Planı'!$L$6:$L$35,21-5))&gt;0,INDEX('İzin Planı'!$L$6:$L$35,21-5)&lt;=('Özet'!$C$6+7*26)+6,INDEX('İzin Planı'!$M$6:$M$35,21-5)&gt;=('Özet'!$C$6+7*26))),"İ",""))</f>
      </c>
      <c r="AD21" s="13">
        <f>IF(INDEX('İzin Planı'!$C$6:$C$35,21-5)="","",IF(OR(AND(N(INDEX('İzin Planı'!$F$6:$F$35,21-5))&gt;0,INDEX('İzin Planı'!$F$6:$F$35,21-5)&lt;=('Özet'!$C$6+7*27)+6,INDEX('İzin Planı'!$G$6:$G$35,21-5)&gt;=('Özet'!$C$6+7*27)),AND(N(INDEX('İzin Planı'!$I$6:$I$35,21-5))&gt;0,INDEX('İzin Planı'!$I$6:$I$35,21-5)&lt;=('Özet'!$C$6+7*27)+6,INDEX('İzin Planı'!$J$6:$J$35,21-5)&gt;=('Özet'!$C$6+7*27)),AND(N(INDEX('İzin Planı'!$L$6:$L$35,21-5))&gt;0,INDEX('İzin Planı'!$L$6:$L$35,21-5)&lt;=('Özet'!$C$6+7*27)+6,INDEX('İzin Planı'!$M$6:$M$35,21-5)&gt;=('Özet'!$C$6+7*27))),"İ",""))</f>
      </c>
      <c r="AE21" s="13">
        <f>IF(INDEX('İzin Planı'!$C$6:$C$35,21-5)="","",IF(OR(AND(N(INDEX('İzin Planı'!$F$6:$F$35,21-5))&gt;0,INDEX('İzin Planı'!$F$6:$F$35,21-5)&lt;=('Özet'!$C$6+7*28)+6,INDEX('İzin Planı'!$G$6:$G$35,21-5)&gt;=('Özet'!$C$6+7*28)),AND(N(INDEX('İzin Planı'!$I$6:$I$35,21-5))&gt;0,INDEX('İzin Planı'!$I$6:$I$35,21-5)&lt;=('Özet'!$C$6+7*28)+6,INDEX('İzin Planı'!$J$6:$J$35,21-5)&gt;=('Özet'!$C$6+7*28)),AND(N(INDEX('İzin Planı'!$L$6:$L$35,21-5))&gt;0,INDEX('İzin Planı'!$L$6:$L$35,21-5)&lt;=('Özet'!$C$6+7*28)+6,INDEX('İzin Planı'!$M$6:$M$35,21-5)&gt;=('Özet'!$C$6+7*28))),"İ",""))</f>
      </c>
      <c r="AF21" s="13">
        <f>IF(INDEX('İzin Planı'!$C$6:$C$35,21-5)="","",IF(OR(AND(N(INDEX('İzin Planı'!$F$6:$F$35,21-5))&gt;0,INDEX('İzin Planı'!$F$6:$F$35,21-5)&lt;=('Özet'!$C$6+7*29)+6,INDEX('İzin Planı'!$G$6:$G$35,21-5)&gt;=('Özet'!$C$6+7*29)),AND(N(INDEX('İzin Planı'!$I$6:$I$35,21-5))&gt;0,INDEX('İzin Planı'!$I$6:$I$35,21-5)&lt;=('Özet'!$C$6+7*29)+6,INDEX('İzin Planı'!$J$6:$J$35,21-5)&gt;=('Özet'!$C$6+7*29)),AND(N(INDEX('İzin Planı'!$L$6:$L$35,21-5))&gt;0,INDEX('İzin Planı'!$L$6:$L$35,21-5)&lt;=('Özet'!$C$6+7*29)+6,INDEX('İzin Planı'!$M$6:$M$35,21-5)&gt;=('Özet'!$C$6+7*29))),"İ",""))</f>
      </c>
      <c r="AG21" s="13">
        <f>IF(INDEX('İzin Planı'!$C$6:$C$35,21-5)="","",IF(OR(AND(N(INDEX('İzin Planı'!$F$6:$F$35,21-5))&gt;0,INDEX('İzin Planı'!$F$6:$F$35,21-5)&lt;=('Özet'!$C$6+7*30)+6,INDEX('İzin Planı'!$G$6:$G$35,21-5)&gt;=('Özet'!$C$6+7*30)),AND(N(INDEX('İzin Planı'!$I$6:$I$35,21-5))&gt;0,INDEX('İzin Planı'!$I$6:$I$35,21-5)&lt;=('Özet'!$C$6+7*30)+6,INDEX('İzin Planı'!$J$6:$J$35,21-5)&gt;=('Özet'!$C$6+7*30)),AND(N(INDEX('İzin Planı'!$L$6:$L$35,21-5))&gt;0,INDEX('İzin Planı'!$L$6:$L$35,21-5)&lt;=('Özet'!$C$6+7*30)+6,INDEX('İzin Planı'!$M$6:$M$35,21-5)&gt;=('Özet'!$C$6+7*30))),"İ",""))</f>
      </c>
      <c r="AH21" s="13">
        <f>IF(INDEX('İzin Planı'!$C$6:$C$35,21-5)="","",IF(OR(AND(N(INDEX('İzin Planı'!$F$6:$F$35,21-5))&gt;0,INDEX('İzin Planı'!$F$6:$F$35,21-5)&lt;=('Özet'!$C$6+7*31)+6,INDEX('İzin Planı'!$G$6:$G$35,21-5)&gt;=('Özet'!$C$6+7*31)),AND(N(INDEX('İzin Planı'!$I$6:$I$35,21-5))&gt;0,INDEX('İzin Planı'!$I$6:$I$35,21-5)&lt;=('Özet'!$C$6+7*31)+6,INDEX('İzin Planı'!$J$6:$J$35,21-5)&gt;=('Özet'!$C$6+7*31)),AND(N(INDEX('İzin Planı'!$L$6:$L$35,21-5))&gt;0,INDEX('İzin Planı'!$L$6:$L$35,21-5)&lt;=('Özet'!$C$6+7*31)+6,INDEX('İzin Planı'!$M$6:$M$35,21-5)&gt;=('Özet'!$C$6+7*31))),"İ",""))</f>
      </c>
      <c r="AI21" s="13">
        <f>IF(INDEX('İzin Planı'!$C$6:$C$35,21-5)="","",IF(OR(AND(N(INDEX('İzin Planı'!$F$6:$F$35,21-5))&gt;0,INDEX('İzin Planı'!$F$6:$F$35,21-5)&lt;=('Özet'!$C$6+7*32)+6,INDEX('İzin Planı'!$G$6:$G$35,21-5)&gt;=('Özet'!$C$6+7*32)),AND(N(INDEX('İzin Planı'!$I$6:$I$35,21-5))&gt;0,INDEX('İzin Planı'!$I$6:$I$35,21-5)&lt;=('Özet'!$C$6+7*32)+6,INDEX('İzin Planı'!$J$6:$J$35,21-5)&gt;=('Özet'!$C$6+7*32)),AND(N(INDEX('İzin Planı'!$L$6:$L$35,21-5))&gt;0,INDEX('İzin Planı'!$L$6:$L$35,21-5)&lt;=('Özet'!$C$6+7*32)+6,INDEX('İzin Planı'!$M$6:$M$35,21-5)&gt;=('Özet'!$C$6+7*32))),"İ",""))</f>
      </c>
      <c r="AJ21" s="13">
        <f>IF(INDEX('İzin Planı'!$C$6:$C$35,21-5)="","",IF(OR(AND(N(INDEX('İzin Planı'!$F$6:$F$35,21-5))&gt;0,INDEX('İzin Planı'!$F$6:$F$35,21-5)&lt;=('Özet'!$C$6+7*33)+6,INDEX('İzin Planı'!$G$6:$G$35,21-5)&gt;=('Özet'!$C$6+7*33)),AND(N(INDEX('İzin Planı'!$I$6:$I$35,21-5))&gt;0,INDEX('İzin Planı'!$I$6:$I$35,21-5)&lt;=('Özet'!$C$6+7*33)+6,INDEX('İzin Planı'!$J$6:$J$35,21-5)&gt;=('Özet'!$C$6+7*33)),AND(N(INDEX('İzin Planı'!$L$6:$L$35,21-5))&gt;0,INDEX('İzin Planı'!$L$6:$L$35,21-5)&lt;=('Özet'!$C$6+7*33)+6,INDEX('İzin Planı'!$M$6:$M$35,21-5)&gt;=('Özet'!$C$6+7*33))),"İ",""))</f>
      </c>
      <c r="AK21" s="13">
        <f>IF(INDEX('İzin Planı'!$C$6:$C$35,21-5)="","",IF(OR(AND(N(INDEX('İzin Planı'!$F$6:$F$35,21-5))&gt;0,INDEX('İzin Planı'!$F$6:$F$35,21-5)&lt;=('Özet'!$C$6+7*34)+6,INDEX('İzin Planı'!$G$6:$G$35,21-5)&gt;=('Özet'!$C$6+7*34)),AND(N(INDEX('İzin Planı'!$I$6:$I$35,21-5))&gt;0,INDEX('İzin Planı'!$I$6:$I$35,21-5)&lt;=('Özet'!$C$6+7*34)+6,INDEX('İzin Planı'!$J$6:$J$35,21-5)&gt;=('Özet'!$C$6+7*34)),AND(N(INDEX('İzin Planı'!$L$6:$L$35,21-5))&gt;0,INDEX('İzin Planı'!$L$6:$L$35,21-5)&lt;=('Özet'!$C$6+7*34)+6,INDEX('İzin Planı'!$M$6:$M$35,21-5)&gt;=('Özet'!$C$6+7*34))),"İ",""))</f>
      </c>
      <c r="AL21" s="13">
        <f>IF(INDEX('İzin Planı'!$C$6:$C$35,21-5)="","",IF(OR(AND(N(INDEX('İzin Planı'!$F$6:$F$35,21-5))&gt;0,INDEX('İzin Planı'!$F$6:$F$35,21-5)&lt;=('Özet'!$C$6+7*35)+6,INDEX('İzin Planı'!$G$6:$G$35,21-5)&gt;=('Özet'!$C$6+7*35)),AND(N(INDEX('İzin Planı'!$I$6:$I$35,21-5))&gt;0,INDEX('İzin Planı'!$I$6:$I$35,21-5)&lt;=('Özet'!$C$6+7*35)+6,INDEX('İzin Planı'!$J$6:$J$35,21-5)&gt;=('Özet'!$C$6+7*35)),AND(N(INDEX('İzin Planı'!$L$6:$L$35,21-5))&gt;0,INDEX('İzin Planı'!$L$6:$L$35,21-5)&lt;=('Özet'!$C$6+7*35)+6,INDEX('İzin Planı'!$M$6:$M$35,21-5)&gt;=('Özet'!$C$6+7*35))),"İ",""))</f>
      </c>
      <c r="AM21" s="13">
        <f>IF(INDEX('İzin Planı'!$C$6:$C$35,21-5)="","",IF(OR(AND(N(INDEX('İzin Planı'!$F$6:$F$35,21-5))&gt;0,INDEX('İzin Planı'!$F$6:$F$35,21-5)&lt;=('Özet'!$C$6+7*36)+6,INDEX('İzin Planı'!$G$6:$G$35,21-5)&gt;=('Özet'!$C$6+7*36)),AND(N(INDEX('İzin Planı'!$I$6:$I$35,21-5))&gt;0,INDEX('İzin Planı'!$I$6:$I$35,21-5)&lt;=('Özet'!$C$6+7*36)+6,INDEX('İzin Planı'!$J$6:$J$35,21-5)&gt;=('Özet'!$C$6+7*36)),AND(N(INDEX('İzin Planı'!$L$6:$L$35,21-5))&gt;0,INDEX('İzin Planı'!$L$6:$L$35,21-5)&lt;=('Özet'!$C$6+7*36)+6,INDEX('İzin Planı'!$M$6:$M$35,21-5)&gt;=('Özet'!$C$6+7*36))),"İ",""))</f>
      </c>
      <c r="AN21" s="13">
        <f>IF(INDEX('İzin Planı'!$C$6:$C$35,21-5)="","",IF(OR(AND(N(INDEX('İzin Planı'!$F$6:$F$35,21-5))&gt;0,INDEX('İzin Planı'!$F$6:$F$35,21-5)&lt;=('Özet'!$C$6+7*37)+6,INDEX('İzin Planı'!$G$6:$G$35,21-5)&gt;=('Özet'!$C$6+7*37)),AND(N(INDEX('İzin Planı'!$I$6:$I$35,21-5))&gt;0,INDEX('İzin Planı'!$I$6:$I$35,21-5)&lt;=('Özet'!$C$6+7*37)+6,INDEX('İzin Planı'!$J$6:$J$35,21-5)&gt;=('Özet'!$C$6+7*37)),AND(N(INDEX('İzin Planı'!$L$6:$L$35,21-5))&gt;0,INDEX('İzin Planı'!$L$6:$L$35,21-5)&lt;=('Özet'!$C$6+7*37)+6,INDEX('İzin Planı'!$M$6:$M$35,21-5)&gt;=('Özet'!$C$6+7*37))),"İ",""))</f>
      </c>
      <c r="AO21" s="13">
        <f>IF(INDEX('İzin Planı'!$C$6:$C$35,21-5)="","",IF(OR(AND(N(INDEX('İzin Planı'!$F$6:$F$35,21-5))&gt;0,INDEX('İzin Planı'!$F$6:$F$35,21-5)&lt;=('Özet'!$C$6+7*38)+6,INDEX('İzin Planı'!$G$6:$G$35,21-5)&gt;=('Özet'!$C$6+7*38)),AND(N(INDEX('İzin Planı'!$I$6:$I$35,21-5))&gt;0,INDEX('İzin Planı'!$I$6:$I$35,21-5)&lt;=('Özet'!$C$6+7*38)+6,INDEX('İzin Planı'!$J$6:$J$35,21-5)&gt;=('Özet'!$C$6+7*38)),AND(N(INDEX('İzin Planı'!$L$6:$L$35,21-5))&gt;0,INDEX('İzin Planı'!$L$6:$L$35,21-5)&lt;=('Özet'!$C$6+7*38)+6,INDEX('İzin Planı'!$M$6:$M$35,21-5)&gt;=('Özet'!$C$6+7*38))),"İ",""))</f>
      </c>
      <c r="AP21" s="13">
        <f>IF(INDEX('İzin Planı'!$C$6:$C$35,21-5)="","",IF(OR(AND(N(INDEX('İzin Planı'!$F$6:$F$35,21-5))&gt;0,INDEX('İzin Planı'!$F$6:$F$35,21-5)&lt;=('Özet'!$C$6+7*39)+6,INDEX('İzin Planı'!$G$6:$G$35,21-5)&gt;=('Özet'!$C$6+7*39)),AND(N(INDEX('İzin Planı'!$I$6:$I$35,21-5))&gt;0,INDEX('İzin Planı'!$I$6:$I$35,21-5)&lt;=('Özet'!$C$6+7*39)+6,INDEX('İzin Planı'!$J$6:$J$35,21-5)&gt;=('Özet'!$C$6+7*39)),AND(N(INDEX('İzin Planı'!$L$6:$L$35,21-5))&gt;0,INDEX('İzin Planı'!$L$6:$L$35,21-5)&lt;=('Özet'!$C$6+7*39)+6,INDEX('İzin Planı'!$M$6:$M$35,21-5)&gt;=('Özet'!$C$6+7*39))),"İ",""))</f>
      </c>
      <c r="AQ21" s="13">
        <f>IF(INDEX('İzin Planı'!$C$6:$C$35,21-5)="","",IF(OR(AND(N(INDEX('İzin Planı'!$F$6:$F$35,21-5))&gt;0,INDEX('İzin Planı'!$F$6:$F$35,21-5)&lt;=('Özet'!$C$6+7*40)+6,INDEX('İzin Planı'!$G$6:$G$35,21-5)&gt;=('Özet'!$C$6+7*40)),AND(N(INDEX('İzin Planı'!$I$6:$I$35,21-5))&gt;0,INDEX('İzin Planı'!$I$6:$I$35,21-5)&lt;=('Özet'!$C$6+7*40)+6,INDEX('İzin Planı'!$J$6:$J$35,21-5)&gt;=('Özet'!$C$6+7*40)),AND(N(INDEX('İzin Planı'!$L$6:$L$35,21-5))&gt;0,INDEX('İzin Planı'!$L$6:$L$35,21-5)&lt;=('Özet'!$C$6+7*40)+6,INDEX('İzin Planı'!$M$6:$M$35,21-5)&gt;=('Özet'!$C$6+7*40))),"İ",""))</f>
      </c>
      <c r="AR21" s="13">
        <f>IF(INDEX('İzin Planı'!$C$6:$C$35,21-5)="","",IF(OR(AND(N(INDEX('İzin Planı'!$F$6:$F$35,21-5))&gt;0,INDEX('İzin Planı'!$F$6:$F$35,21-5)&lt;=('Özet'!$C$6+7*41)+6,INDEX('İzin Planı'!$G$6:$G$35,21-5)&gt;=('Özet'!$C$6+7*41)),AND(N(INDEX('İzin Planı'!$I$6:$I$35,21-5))&gt;0,INDEX('İzin Planı'!$I$6:$I$35,21-5)&lt;=('Özet'!$C$6+7*41)+6,INDEX('İzin Planı'!$J$6:$J$35,21-5)&gt;=('Özet'!$C$6+7*41)),AND(N(INDEX('İzin Planı'!$L$6:$L$35,21-5))&gt;0,INDEX('İzin Planı'!$L$6:$L$35,21-5)&lt;=('Özet'!$C$6+7*41)+6,INDEX('İzin Planı'!$M$6:$M$35,21-5)&gt;=('Özet'!$C$6+7*41))),"İ",""))</f>
      </c>
      <c r="AS21" s="13">
        <f>IF(INDEX('İzin Planı'!$C$6:$C$35,21-5)="","",IF(OR(AND(N(INDEX('İzin Planı'!$F$6:$F$35,21-5))&gt;0,INDEX('İzin Planı'!$F$6:$F$35,21-5)&lt;=('Özet'!$C$6+7*42)+6,INDEX('İzin Planı'!$G$6:$G$35,21-5)&gt;=('Özet'!$C$6+7*42)),AND(N(INDEX('İzin Planı'!$I$6:$I$35,21-5))&gt;0,INDEX('İzin Planı'!$I$6:$I$35,21-5)&lt;=('Özet'!$C$6+7*42)+6,INDEX('İzin Planı'!$J$6:$J$35,21-5)&gt;=('Özet'!$C$6+7*42)),AND(N(INDEX('İzin Planı'!$L$6:$L$35,21-5))&gt;0,INDEX('İzin Planı'!$L$6:$L$35,21-5)&lt;=('Özet'!$C$6+7*42)+6,INDEX('İzin Planı'!$M$6:$M$35,21-5)&gt;=('Özet'!$C$6+7*42))),"İ",""))</f>
      </c>
      <c r="AT21" s="13">
        <f>IF(INDEX('İzin Planı'!$C$6:$C$35,21-5)="","",IF(OR(AND(N(INDEX('İzin Planı'!$F$6:$F$35,21-5))&gt;0,INDEX('İzin Planı'!$F$6:$F$35,21-5)&lt;=('Özet'!$C$6+7*43)+6,INDEX('İzin Planı'!$G$6:$G$35,21-5)&gt;=('Özet'!$C$6+7*43)),AND(N(INDEX('İzin Planı'!$I$6:$I$35,21-5))&gt;0,INDEX('İzin Planı'!$I$6:$I$35,21-5)&lt;=('Özet'!$C$6+7*43)+6,INDEX('İzin Planı'!$J$6:$J$35,21-5)&gt;=('Özet'!$C$6+7*43)),AND(N(INDEX('İzin Planı'!$L$6:$L$35,21-5))&gt;0,INDEX('İzin Planı'!$L$6:$L$35,21-5)&lt;=('Özet'!$C$6+7*43)+6,INDEX('İzin Planı'!$M$6:$M$35,21-5)&gt;=('Özet'!$C$6+7*43))),"İ",""))</f>
      </c>
      <c r="AU21" s="13">
        <f>IF(INDEX('İzin Planı'!$C$6:$C$35,21-5)="","",IF(OR(AND(N(INDEX('İzin Planı'!$F$6:$F$35,21-5))&gt;0,INDEX('İzin Planı'!$F$6:$F$35,21-5)&lt;=('Özet'!$C$6+7*44)+6,INDEX('İzin Planı'!$G$6:$G$35,21-5)&gt;=('Özet'!$C$6+7*44)),AND(N(INDEX('İzin Planı'!$I$6:$I$35,21-5))&gt;0,INDEX('İzin Planı'!$I$6:$I$35,21-5)&lt;=('Özet'!$C$6+7*44)+6,INDEX('İzin Planı'!$J$6:$J$35,21-5)&gt;=('Özet'!$C$6+7*44)),AND(N(INDEX('İzin Planı'!$L$6:$L$35,21-5))&gt;0,INDEX('İzin Planı'!$L$6:$L$35,21-5)&lt;=('Özet'!$C$6+7*44)+6,INDEX('İzin Planı'!$M$6:$M$35,21-5)&gt;=('Özet'!$C$6+7*44))),"İ",""))</f>
      </c>
      <c r="AV21" s="13">
        <f>IF(INDEX('İzin Planı'!$C$6:$C$35,21-5)="","",IF(OR(AND(N(INDEX('İzin Planı'!$F$6:$F$35,21-5))&gt;0,INDEX('İzin Planı'!$F$6:$F$35,21-5)&lt;=('Özet'!$C$6+7*45)+6,INDEX('İzin Planı'!$G$6:$G$35,21-5)&gt;=('Özet'!$C$6+7*45)),AND(N(INDEX('İzin Planı'!$I$6:$I$35,21-5))&gt;0,INDEX('İzin Planı'!$I$6:$I$35,21-5)&lt;=('Özet'!$C$6+7*45)+6,INDEX('İzin Planı'!$J$6:$J$35,21-5)&gt;=('Özet'!$C$6+7*45)),AND(N(INDEX('İzin Planı'!$L$6:$L$35,21-5))&gt;0,INDEX('İzin Planı'!$L$6:$L$35,21-5)&lt;=('Özet'!$C$6+7*45)+6,INDEX('İzin Planı'!$M$6:$M$35,21-5)&gt;=('Özet'!$C$6+7*45))),"İ",""))</f>
      </c>
      <c r="AW21" s="13">
        <f>IF(INDEX('İzin Planı'!$C$6:$C$35,21-5)="","",IF(OR(AND(N(INDEX('İzin Planı'!$F$6:$F$35,21-5))&gt;0,INDEX('İzin Planı'!$F$6:$F$35,21-5)&lt;=('Özet'!$C$6+7*46)+6,INDEX('İzin Planı'!$G$6:$G$35,21-5)&gt;=('Özet'!$C$6+7*46)),AND(N(INDEX('İzin Planı'!$I$6:$I$35,21-5))&gt;0,INDEX('İzin Planı'!$I$6:$I$35,21-5)&lt;=('Özet'!$C$6+7*46)+6,INDEX('İzin Planı'!$J$6:$J$35,21-5)&gt;=('Özet'!$C$6+7*46)),AND(N(INDEX('İzin Planı'!$L$6:$L$35,21-5))&gt;0,INDEX('İzin Planı'!$L$6:$L$35,21-5)&lt;=('Özet'!$C$6+7*46)+6,INDEX('İzin Planı'!$M$6:$M$35,21-5)&gt;=('Özet'!$C$6+7*46))),"İ",""))</f>
      </c>
      <c r="AX21" s="13">
        <f>IF(INDEX('İzin Planı'!$C$6:$C$35,21-5)="","",IF(OR(AND(N(INDEX('İzin Planı'!$F$6:$F$35,21-5))&gt;0,INDEX('İzin Planı'!$F$6:$F$35,21-5)&lt;=('Özet'!$C$6+7*47)+6,INDEX('İzin Planı'!$G$6:$G$35,21-5)&gt;=('Özet'!$C$6+7*47)),AND(N(INDEX('İzin Planı'!$I$6:$I$35,21-5))&gt;0,INDEX('İzin Planı'!$I$6:$I$35,21-5)&lt;=('Özet'!$C$6+7*47)+6,INDEX('İzin Planı'!$J$6:$J$35,21-5)&gt;=('Özet'!$C$6+7*47)),AND(N(INDEX('İzin Planı'!$L$6:$L$35,21-5))&gt;0,INDEX('İzin Planı'!$L$6:$L$35,21-5)&lt;=('Özet'!$C$6+7*47)+6,INDEX('İzin Planı'!$M$6:$M$35,21-5)&gt;=('Özet'!$C$6+7*47))),"İ",""))</f>
      </c>
      <c r="AY21" s="13">
        <f>IF(INDEX('İzin Planı'!$C$6:$C$35,21-5)="","",IF(OR(AND(N(INDEX('İzin Planı'!$F$6:$F$35,21-5))&gt;0,INDEX('İzin Planı'!$F$6:$F$35,21-5)&lt;=('Özet'!$C$6+7*48)+6,INDEX('İzin Planı'!$G$6:$G$35,21-5)&gt;=('Özet'!$C$6+7*48)),AND(N(INDEX('İzin Planı'!$I$6:$I$35,21-5))&gt;0,INDEX('İzin Planı'!$I$6:$I$35,21-5)&lt;=('Özet'!$C$6+7*48)+6,INDEX('İzin Planı'!$J$6:$J$35,21-5)&gt;=('Özet'!$C$6+7*48)),AND(N(INDEX('İzin Planı'!$L$6:$L$35,21-5))&gt;0,INDEX('İzin Planı'!$L$6:$L$35,21-5)&lt;=('Özet'!$C$6+7*48)+6,INDEX('İzin Planı'!$M$6:$M$35,21-5)&gt;=('Özet'!$C$6+7*48))),"İ",""))</f>
      </c>
      <c r="AZ21" s="13">
        <f>IF(INDEX('İzin Planı'!$C$6:$C$35,21-5)="","",IF(OR(AND(N(INDEX('İzin Planı'!$F$6:$F$35,21-5))&gt;0,INDEX('İzin Planı'!$F$6:$F$35,21-5)&lt;=('Özet'!$C$6+7*49)+6,INDEX('İzin Planı'!$G$6:$G$35,21-5)&gt;=('Özet'!$C$6+7*49)),AND(N(INDEX('İzin Planı'!$I$6:$I$35,21-5))&gt;0,INDEX('İzin Planı'!$I$6:$I$35,21-5)&lt;=('Özet'!$C$6+7*49)+6,INDEX('İzin Planı'!$J$6:$J$35,21-5)&gt;=('Özet'!$C$6+7*49)),AND(N(INDEX('İzin Planı'!$L$6:$L$35,21-5))&gt;0,INDEX('İzin Planı'!$L$6:$L$35,21-5)&lt;=('Özet'!$C$6+7*49)+6,INDEX('İzin Planı'!$M$6:$M$35,21-5)&gt;=('Özet'!$C$6+7*49))),"İ",""))</f>
      </c>
      <c r="BA21" s="13">
        <f>IF(INDEX('İzin Planı'!$C$6:$C$35,21-5)="","",IF(OR(AND(N(INDEX('İzin Planı'!$F$6:$F$35,21-5))&gt;0,INDEX('İzin Planı'!$F$6:$F$35,21-5)&lt;=('Özet'!$C$6+7*50)+6,INDEX('İzin Planı'!$G$6:$G$35,21-5)&gt;=('Özet'!$C$6+7*50)),AND(N(INDEX('İzin Planı'!$I$6:$I$35,21-5))&gt;0,INDEX('İzin Planı'!$I$6:$I$35,21-5)&lt;=('Özet'!$C$6+7*50)+6,INDEX('İzin Planı'!$J$6:$J$35,21-5)&gt;=('Özet'!$C$6+7*50)),AND(N(INDEX('İzin Planı'!$L$6:$L$35,21-5))&gt;0,INDEX('İzin Planı'!$L$6:$L$35,21-5)&lt;=('Özet'!$C$6+7*50)+6,INDEX('İzin Planı'!$M$6:$M$35,21-5)&gt;=('Özet'!$C$6+7*50))),"İ",""))</f>
      </c>
      <c r="BB21" s="13">
        <f>IF(INDEX('İzin Planı'!$C$6:$C$35,21-5)="","",IF(OR(AND(N(INDEX('İzin Planı'!$F$6:$F$35,21-5))&gt;0,INDEX('İzin Planı'!$F$6:$F$35,21-5)&lt;=('Özet'!$C$6+7*51)+6,INDEX('İzin Planı'!$G$6:$G$35,21-5)&gt;=('Özet'!$C$6+7*51)),AND(N(INDEX('İzin Planı'!$I$6:$I$35,21-5))&gt;0,INDEX('İzin Planı'!$I$6:$I$35,21-5)&lt;=('Özet'!$C$6+7*51)+6,INDEX('İzin Planı'!$J$6:$J$35,21-5)&gt;=('Özet'!$C$6+7*51)),AND(N(INDEX('İzin Planı'!$L$6:$L$35,21-5))&gt;0,INDEX('İzin Planı'!$L$6:$L$35,21-5)&lt;=('Özet'!$C$6+7*51)+6,INDEX('İzin Planı'!$M$6:$M$35,21-5)&gt;=('Özet'!$C$6+7*51))),"İ",""))</f>
      </c>
      <c r="BC21" s="13">
        <f>IF(INDEX('İzin Planı'!$C$6:$C$35,21-5)="","",IF(OR(AND(N(INDEX('İzin Planı'!$F$6:$F$35,21-5))&gt;0,INDEX('İzin Planı'!$F$6:$F$35,21-5)&lt;=('Özet'!$C$6+7*52)+6,INDEX('İzin Planı'!$G$6:$G$35,21-5)&gt;=('Özet'!$C$6+7*52)),AND(N(INDEX('İzin Planı'!$I$6:$I$35,21-5))&gt;0,INDEX('İzin Planı'!$I$6:$I$35,21-5)&lt;=('Özet'!$C$6+7*52)+6,INDEX('İzin Planı'!$J$6:$J$35,21-5)&gt;=('Özet'!$C$6+7*52)),AND(N(INDEX('İzin Planı'!$L$6:$L$35,21-5))&gt;0,INDEX('İzin Planı'!$L$6:$L$35,21-5)&lt;=('Özet'!$C$6+7*52)+6,INDEX('İzin Planı'!$M$6:$M$35,21-5)&gt;=('Özet'!$C$6+7*52))),"İ",""))</f>
      </c>
    </row>
    <row r="22" ht="18" customHeight="1" spans="1:55" x14ac:dyDescent="0.25">
      <c r="A22" s="6">
        <v>17</v>
      </c>
      <c r="B22" s="13">
        <f>IF(INDEX('İzin Planı'!$C$6:$C$35,22-5)="","",INDEX('İzin Planı'!$C$6:$C$35,22-5))</f>
      </c>
      <c r="C22" s="13">
        <f>IF(INDEX('İzin Planı'!$C$6:$C$35,22-5)="","",IF(OR(AND(N(INDEX('İzin Planı'!$F$6:$F$35,22-5))&gt;0,INDEX('İzin Planı'!$F$6:$F$35,22-5)&lt;=('Özet'!$C$6+7*0)+6,INDEX('İzin Planı'!$G$6:$G$35,22-5)&gt;=('Özet'!$C$6+7*0)),AND(N(INDEX('İzin Planı'!$I$6:$I$35,22-5))&gt;0,INDEX('İzin Planı'!$I$6:$I$35,22-5)&lt;=('Özet'!$C$6+7*0)+6,INDEX('İzin Planı'!$J$6:$J$35,22-5)&gt;=('Özet'!$C$6+7*0)),AND(N(INDEX('İzin Planı'!$L$6:$L$35,22-5))&gt;0,INDEX('İzin Planı'!$L$6:$L$35,22-5)&lt;=('Özet'!$C$6+7*0)+6,INDEX('İzin Planı'!$M$6:$M$35,22-5)&gt;=('Özet'!$C$6+7*0))),"İ",""))</f>
      </c>
      <c r="D22" s="13">
        <f>IF(INDEX('İzin Planı'!$C$6:$C$35,22-5)="","",IF(OR(AND(N(INDEX('İzin Planı'!$F$6:$F$35,22-5))&gt;0,INDEX('İzin Planı'!$F$6:$F$35,22-5)&lt;=('Özet'!$C$6+7*1)+6,INDEX('İzin Planı'!$G$6:$G$35,22-5)&gt;=('Özet'!$C$6+7*1)),AND(N(INDEX('İzin Planı'!$I$6:$I$35,22-5))&gt;0,INDEX('İzin Planı'!$I$6:$I$35,22-5)&lt;=('Özet'!$C$6+7*1)+6,INDEX('İzin Planı'!$J$6:$J$35,22-5)&gt;=('Özet'!$C$6+7*1)),AND(N(INDEX('İzin Planı'!$L$6:$L$35,22-5))&gt;0,INDEX('İzin Planı'!$L$6:$L$35,22-5)&lt;=('Özet'!$C$6+7*1)+6,INDEX('İzin Planı'!$M$6:$M$35,22-5)&gt;=('Özet'!$C$6+7*1))),"İ",""))</f>
      </c>
      <c r="E22" s="13">
        <f>IF(INDEX('İzin Planı'!$C$6:$C$35,22-5)="","",IF(OR(AND(N(INDEX('İzin Planı'!$F$6:$F$35,22-5))&gt;0,INDEX('İzin Planı'!$F$6:$F$35,22-5)&lt;=('Özet'!$C$6+7*2)+6,INDEX('İzin Planı'!$G$6:$G$35,22-5)&gt;=('Özet'!$C$6+7*2)),AND(N(INDEX('İzin Planı'!$I$6:$I$35,22-5))&gt;0,INDEX('İzin Planı'!$I$6:$I$35,22-5)&lt;=('Özet'!$C$6+7*2)+6,INDEX('İzin Planı'!$J$6:$J$35,22-5)&gt;=('Özet'!$C$6+7*2)),AND(N(INDEX('İzin Planı'!$L$6:$L$35,22-5))&gt;0,INDEX('İzin Planı'!$L$6:$L$35,22-5)&lt;=('Özet'!$C$6+7*2)+6,INDEX('İzin Planı'!$M$6:$M$35,22-5)&gt;=('Özet'!$C$6+7*2))),"İ",""))</f>
      </c>
      <c r="F22" s="13">
        <f>IF(INDEX('İzin Planı'!$C$6:$C$35,22-5)="","",IF(OR(AND(N(INDEX('İzin Planı'!$F$6:$F$35,22-5))&gt;0,INDEX('İzin Planı'!$F$6:$F$35,22-5)&lt;=('Özet'!$C$6+7*3)+6,INDEX('İzin Planı'!$G$6:$G$35,22-5)&gt;=('Özet'!$C$6+7*3)),AND(N(INDEX('İzin Planı'!$I$6:$I$35,22-5))&gt;0,INDEX('İzin Planı'!$I$6:$I$35,22-5)&lt;=('Özet'!$C$6+7*3)+6,INDEX('İzin Planı'!$J$6:$J$35,22-5)&gt;=('Özet'!$C$6+7*3)),AND(N(INDEX('İzin Planı'!$L$6:$L$35,22-5))&gt;0,INDEX('İzin Planı'!$L$6:$L$35,22-5)&lt;=('Özet'!$C$6+7*3)+6,INDEX('İzin Planı'!$M$6:$M$35,22-5)&gt;=('Özet'!$C$6+7*3))),"İ",""))</f>
      </c>
      <c r="G22" s="13">
        <f>IF(INDEX('İzin Planı'!$C$6:$C$35,22-5)="","",IF(OR(AND(N(INDEX('İzin Planı'!$F$6:$F$35,22-5))&gt;0,INDEX('İzin Planı'!$F$6:$F$35,22-5)&lt;=('Özet'!$C$6+7*4)+6,INDEX('İzin Planı'!$G$6:$G$35,22-5)&gt;=('Özet'!$C$6+7*4)),AND(N(INDEX('İzin Planı'!$I$6:$I$35,22-5))&gt;0,INDEX('İzin Planı'!$I$6:$I$35,22-5)&lt;=('Özet'!$C$6+7*4)+6,INDEX('İzin Planı'!$J$6:$J$35,22-5)&gt;=('Özet'!$C$6+7*4)),AND(N(INDEX('İzin Planı'!$L$6:$L$35,22-5))&gt;0,INDEX('İzin Planı'!$L$6:$L$35,22-5)&lt;=('Özet'!$C$6+7*4)+6,INDEX('İzin Planı'!$M$6:$M$35,22-5)&gt;=('Özet'!$C$6+7*4))),"İ",""))</f>
      </c>
      <c r="H22" s="13">
        <f>IF(INDEX('İzin Planı'!$C$6:$C$35,22-5)="","",IF(OR(AND(N(INDEX('İzin Planı'!$F$6:$F$35,22-5))&gt;0,INDEX('İzin Planı'!$F$6:$F$35,22-5)&lt;=('Özet'!$C$6+7*5)+6,INDEX('İzin Planı'!$G$6:$G$35,22-5)&gt;=('Özet'!$C$6+7*5)),AND(N(INDEX('İzin Planı'!$I$6:$I$35,22-5))&gt;0,INDEX('İzin Planı'!$I$6:$I$35,22-5)&lt;=('Özet'!$C$6+7*5)+6,INDEX('İzin Planı'!$J$6:$J$35,22-5)&gt;=('Özet'!$C$6+7*5)),AND(N(INDEX('İzin Planı'!$L$6:$L$35,22-5))&gt;0,INDEX('İzin Planı'!$L$6:$L$35,22-5)&lt;=('Özet'!$C$6+7*5)+6,INDEX('İzin Planı'!$M$6:$M$35,22-5)&gt;=('Özet'!$C$6+7*5))),"İ",""))</f>
      </c>
      <c r="I22" s="13">
        <f>IF(INDEX('İzin Planı'!$C$6:$C$35,22-5)="","",IF(OR(AND(N(INDEX('İzin Planı'!$F$6:$F$35,22-5))&gt;0,INDEX('İzin Planı'!$F$6:$F$35,22-5)&lt;=('Özet'!$C$6+7*6)+6,INDEX('İzin Planı'!$G$6:$G$35,22-5)&gt;=('Özet'!$C$6+7*6)),AND(N(INDEX('İzin Planı'!$I$6:$I$35,22-5))&gt;0,INDEX('İzin Planı'!$I$6:$I$35,22-5)&lt;=('Özet'!$C$6+7*6)+6,INDEX('İzin Planı'!$J$6:$J$35,22-5)&gt;=('Özet'!$C$6+7*6)),AND(N(INDEX('İzin Planı'!$L$6:$L$35,22-5))&gt;0,INDEX('İzin Planı'!$L$6:$L$35,22-5)&lt;=('Özet'!$C$6+7*6)+6,INDEX('İzin Planı'!$M$6:$M$35,22-5)&gt;=('Özet'!$C$6+7*6))),"İ",""))</f>
      </c>
      <c r="J22" s="13">
        <f>IF(INDEX('İzin Planı'!$C$6:$C$35,22-5)="","",IF(OR(AND(N(INDEX('İzin Planı'!$F$6:$F$35,22-5))&gt;0,INDEX('İzin Planı'!$F$6:$F$35,22-5)&lt;=('Özet'!$C$6+7*7)+6,INDEX('İzin Planı'!$G$6:$G$35,22-5)&gt;=('Özet'!$C$6+7*7)),AND(N(INDEX('İzin Planı'!$I$6:$I$35,22-5))&gt;0,INDEX('İzin Planı'!$I$6:$I$35,22-5)&lt;=('Özet'!$C$6+7*7)+6,INDEX('İzin Planı'!$J$6:$J$35,22-5)&gt;=('Özet'!$C$6+7*7)),AND(N(INDEX('İzin Planı'!$L$6:$L$35,22-5))&gt;0,INDEX('İzin Planı'!$L$6:$L$35,22-5)&lt;=('Özet'!$C$6+7*7)+6,INDEX('İzin Planı'!$M$6:$M$35,22-5)&gt;=('Özet'!$C$6+7*7))),"İ",""))</f>
      </c>
      <c r="K22" s="13">
        <f>IF(INDEX('İzin Planı'!$C$6:$C$35,22-5)="","",IF(OR(AND(N(INDEX('İzin Planı'!$F$6:$F$35,22-5))&gt;0,INDEX('İzin Planı'!$F$6:$F$35,22-5)&lt;=('Özet'!$C$6+7*8)+6,INDEX('İzin Planı'!$G$6:$G$35,22-5)&gt;=('Özet'!$C$6+7*8)),AND(N(INDEX('İzin Planı'!$I$6:$I$35,22-5))&gt;0,INDEX('İzin Planı'!$I$6:$I$35,22-5)&lt;=('Özet'!$C$6+7*8)+6,INDEX('İzin Planı'!$J$6:$J$35,22-5)&gt;=('Özet'!$C$6+7*8)),AND(N(INDEX('İzin Planı'!$L$6:$L$35,22-5))&gt;0,INDEX('İzin Planı'!$L$6:$L$35,22-5)&lt;=('Özet'!$C$6+7*8)+6,INDEX('İzin Planı'!$M$6:$M$35,22-5)&gt;=('Özet'!$C$6+7*8))),"İ",""))</f>
      </c>
      <c r="L22" s="13">
        <f>IF(INDEX('İzin Planı'!$C$6:$C$35,22-5)="","",IF(OR(AND(N(INDEX('İzin Planı'!$F$6:$F$35,22-5))&gt;0,INDEX('İzin Planı'!$F$6:$F$35,22-5)&lt;=('Özet'!$C$6+7*9)+6,INDEX('İzin Planı'!$G$6:$G$35,22-5)&gt;=('Özet'!$C$6+7*9)),AND(N(INDEX('İzin Planı'!$I$6:$I$35,22-5))&gt;0,INDEX('İzin Planı'!$I$6:$I$35,22-5)&lt;=('Özet'!$C$6+7*9)+6,INDEX('İzin Planı'!$J$6:$J$35,22-5)&gt;=('Özet'!$C$6+7*9)),AND(N(INDEX('İzin Planı'!$L$6:$L$35,22-5))&gt;0,INDEX('İzin Planı'!$L$6:$L$35,22-5)&lt;=('Özet'!$C$6+7*9)+6,INDEX('İzin Planı'!$M$6:$M$35,22-5)&gt;=('Özet'!$C$6+7*9))),"İ",""))</f>
      </c>
      <c r="M22" s="13">
        <f>IF(INDEX('İzin Planı'!$C$6:$C$35,22-5)="","",IF(OR(AND(N(INDEX('İzin Planı'!$F$6:$F$35,22-5))&gt;0,INDEX('İzin Planı'!$F$6:$F$35,22-5)&lt;=('Özet'!$C$6+7*10)+6,INDEX('İzin Planı'!$G$6:$G$35,22-5)&gt;=('Özet'!$C$6+7*10)),AND(N(INDEX('İzin Planı'!$I$6:$I$35,22-5))&gt;0,INDEX('İzin Planı'!$I$6:$I$35,22-5)&lt;=('Özet'!$C$6+7*10)+6,INDEX('İzin Planı'!$J$6:$J$35,22-5)&gt;=('Özet'!$C$6+7*10)),AND(N(INDEX('İzin Planı'!$L$6:$L$35,22-5))&gt;0,INDEX('İzin Planı'!$L$6:$L$35,22-5)&lt;=('Özet'!$C$6+7*10)+6,INDEX('İzin Planı'!$M$6:$M$35,22-5)&gt;=('Özet'!$C$6+7*10))),"İ",""))</f>
      </c>
      <c r="N22" s="13">
        <f>IF(INDEX('İzin Planı'!$C$6:$C$35,22-5)="","",IF(OR(AND(N(INDEX('İzin Planı'!$F$6:$F$35,22-5))&gt;0,INDEX('İzin Planı'!$F$6:$F$35,22-5)&lt;=('Özet'!$C$6+7*11)+6,INDEX('İzin Planı'!$G$6:$G$35,22-5)&gt;=('Özet'!$C$6+7*11)),AND(N(INDEX('İzin Planı'!$I$6:$I$35,22-5))&gt;0,INDEX('İzin Planı'!$I$6:$I$35,22-5)&lt;=('Özet'!$C$6+7*11)+6,INDEX('İzin Planı'!$J$6:$J$35,22-5)&gt;=('Özet'!$C$6+7*11)),AND(N(INDEX('İzin Planı'!$L$6:$L$35,22-5))&gt;0,INDEX('İzin Planı'!$L$6:$L$35,22-5)&lt;=('Özet'!$C$6+7*11)+6,INDEX('İzin Planı'!$M$6:$M$35,22-5)&gt;=('Özet'!$C$6+7*11))),"İ",""))</f>
      </c>
      <c r="O22" s="13">
        <f>IF(INDEX('İzin Planı'!$C$6:$C$35,22-5)="","",IF(OR(AND(N(INDEX('İzin Planı'!$F$6:$F$35,22-5))&gt;0,INDEX('İzin Planı'!$F$6:$F$35,22-5)&lt;=('Özet'!$C$6+7*12)+6,INDEX('İzin Planı'!$G$6:$G$35,22-5)&gt;=('Özet'!$C$6+7*12)),AND(N(INDEX('İzin Planı'!$I$6:$I$35,22-5))&gt;0,INDEX('İzin Planı'!$I$6:$I$35,22-5)&lt;=('Özet'!$C$6+7*12)+6,INDEX('İzin Planı'!$J$6:$J$35,22-5)&gt;=('Özet'!$C$6+7*12)),AND(N(INDEX('İzin Planı'!$L$6:$L$35,22-5))&gt;0,INDEX('İzin Planı'!$L$6:$L$35,22-5)&lt;=('Özet'!$C$6+7*12)+6,INDEX('İzin Planı'!$M$6:$M$35,22-5)&gt;=('Özet'!$C$6+7*12))),"İ",""))</f>
      </c>
      <c r="P22" s="13">
        <f>IF(INDEX('İzin Planı'!$C$6:$C$35,22-5)="","",IF(OR(AND(N(INDEX('İzin Planı'!$F$6:$F$35,22-5))&gt;0,INDEX('İzin Planı'!$F$6:$F$35,22-5)&lt;=('Özet'!$C$6+7*13)+6,INDEX('İzin Planı'!$G$6:$G$35,22-5)&gt;=('Özet'!$C$6+7*13)),AND(N(INDEX('İzin Planı'!$I$6:$I$35,22-5))&gt;0,INDEX('İzin Planı'!$I$6:$I$35,22-5)&lt;=('Özet'!$C$6+7*13)+6,INDEX('İzin Planı'!$J$6:$J$35,22-5)&gt;=('Özet'!$C$6+7*13)),AND(N(INDEX('İzin Planı'!$L$6:$L$35,22-5))&gt;0,INDEX('İzin Planı'!$L$6:$L$35,22-5)&lt;=('Özet'!$C$6+7*13)+6,INDEX('İzin Planı'!$M$6:$M$35,22-5)&gt;=('Özet'!$C$6+7*13))),"İ",""))</f>
      </c>
      <c r="Q22" s="13">
        <f>IF(INDEX('İzin Planı'!$C$6:$C$35,22-5)="","",IF(OR(AND(N(INDEX('İzin Planı'!$F$6:$F$35,22-5))&gt;0,INDEX('İzin Planı'!$F$6:$F$35,22-5)&lt;=('Özet'!$C$6+7*14)+6,INDEX('İzin Planı'!$G$6:$G$35,22-5)&gt;=('Özet'!$C$6+7*14)),AND(N(INDEX('İzin Planı'!$I$6:$I$35,22-5))&gt;0,INDEX('İzin Planı'!$I$6:$I$35,22-5)&lt;=('Özet'!$C$6+7*14)+6,INDEX('İzin Planı'!$J$6:$J$35,22-5)&gt;=('Özet'!$C$6+7*14)),AND(N(INDEX('İzin Planı'!$L$6:$L$35,22-5))&gt;0,INDEX('İzin Planı'!$L$6:$L$35,22-5)&lt;=('Özet'!$C$6+7*14)+6,INDEX('İzin Planı'!$M$6:$M$35,22-5)&gt;=('Özet'!$C$6+7*14))),"İ",""))</f>
      </c>
      <c r="R22" s="13">
        <f>IF(INDEX('İzin Planı'!$C$6:$C$35,22-5)="","",IF(OR(AND(N(INDEX('İzin Planı'!$F$6:$F$35,22-5))&gt;0,INDEX('İzin Planı'!$F$6:$F$35,22-5)&lt;=('Özet'!$C$6+7*15)+6,INDEX('İzin Planı'!$G$6:$G$35,22-5)&gt;=('Özet'!$C$6+7*15)),AND(N(INDEX('İzin Planı'!$I$6:$I$35,22-5))&gt;0,INDEX('İzin Planı'!$I$6:$I$35,22-5)&lt;=('Özet'!$C$6+7*15)+6,INDEX('İzin Planı'!$J$6:$J$35,22-5)&gt;=('Özet'!$C$6+7*15)),AND(N(INDEX('İzin Planı'!$L$6:$L$35,22-5))&gt;0,INDEX('İzin Planı'!$L$6:$L$35,22-5)&lt;=('Özet'!$C$6+7*15)+6,INDEX('İzin Planı'!$M$6:$M$35,22-5)&gt;=('Özet'!$C$6+7*15))),"İ",""))</f>
      </c>
      <c r="S22" s="13">
        <f>IF(INDEX('İzin Planı'!$C$6:$C$35,22-5)="","",IF(OR(AND(N(INDEX('İzin Planı'!$F$6:$F$35,22-5))&gt;0,INDEX('İzin Planı'!$F$6:$F$35,22-5)&lt;=('Özet'!$C$6+7*16)+6,INDEX('İzin Planı'!$G$6:$G$35,22-5)&gt;=('Özet'!$C$6+7*16)),AND(N(INDEX('İzin Planı'!$I$6:$I$35,22-5))&gt;0,INDEX('İzin Planı'!$I$6:$I$35,22-5)&lt;=('Özet'!$C$6+7*16)+6,INDEX('İzin Planı'!$J$6:$J$35,22-5)&gt;=('Özet'!$C$6+7*16)),AND(N(INDEX('İzin Planı'!$L$6:$L$35,22-5))&gt;0,INDEX('İzin Planı'!$L$6:$L$35,22-5)&lt;=('Özet'!$C$6+7*16)+6,INDEX('İzin Planı'!$M$6:$M$35,22-5)&gt;=('Özet'!$C$6+7*16))),"İ",""))</f>
      </c>
      <c r="T22" s="13">
        <f>IF(INDEX('İzin Planı'!$C$6:$C$35,22-5)="","",IF(OR(AND(N(INDEX('İzin Planı'!$F$6:$F$35,22-5))&gt;0,INDEX('İzin Planı'!$F$6:$F$35,22-5)&lt;=('Özet'!$C$6+7*17)+6,INDEX('İzin Planı'!$G$6:$G$35,22-5)&gt;=('Özet'!$C$6+7*17)),AND(N(INDEX('İzin Planı'!$I$6:$I$35,22-5))&gt;0,INDEX('İzin Planı'!$I$6:$I$35,22-5)&lt;=('Özet'!$C$6+7*17)+6,INDEX('İzin Planı'!$J$6:$J$35,22-5)&gt;=('Özet'!$C$6+7*17)),AND(N(INDEX('İzin Planı'!$L$6:$L$35,22-5))&gt;0,INDEX('İzin Planı'!$L$6:$L$35,22-5)&lt;=('Özet'!$C$6+7*17)+6,INDEX('İzin Planı'!$M$6:$M$35,22-5)&gt;=('Özet'!$C$6+7*17))),"İ",""))</f>
      </c>
      <c r="U22" s="13">
        <f>IF(INDEX('İzin Planı'!$C$6:$C$35,22-5)="","",IF(OR(AND(N(INDEX('İzin Planı'!$F$6:$F$35,22-5))&gt;0,INDEX('İzin Planı'!$F$6:$F$35,22-5)&lt;=('Özet'!$C$6+7*18)+6,INDEX('İzin Planı'!$G$6:$G$35,22-5)&gt;=('Özet'!$C$6+7*18)),AND(N(INDEX('İzin Planı'!$I$6:$I$35,22-5))&gt;0,INDEX('İzin Planı'!$I$6:$I$35,22-5)&lt;=('Özet'!$C$6+7*18)+6,INDEX('İzin Planı'!$J$6:$J$35,22-5)&gt;=('Özet'!$C$6+7*18)),AND(N(INDEX('İzin Planı'!$L$6:$L$35,22-5))&gt;0,INDEX('İzin Planı'!$L$6:$L$35,22-5)&lt;=('Özet'!$C$6+7*18)+6,INDEX('İzin Planı'!$M$6:$M$35,22-5)&gt;=('Özet'!$C$6+7*18))),"İ",""))</f>
      </c>
      <c r="V22" s="13">
        <f>IF(INDEX('İzin Planı'!$C$6:$C$35,22-5)="","",IF(OR(AND(N(INDEX('İzin Planı'!$F$6:$F$35,22-5))&gt;0,INDEX('İzin Planı'!$F$6:$F$35,22-5)&lt;=('Özet'!$C$6+7*19)+6,INDEX('İzin Planı'!$G$6:$G$35,22-5)&gt;=('Özet'!$C$6+7*19)),AND(N(INDEX('İzin Planı'!$I$6:$I$35,22-5))&gt;0,INDEX('İzin Planı'!$I$6:$I$35,22-5)&lt;=('Özet'!$C$6+7*19)+6,INDEX('İzin Planı'!$J$6:$J$35,22-5)&gt;=('Özet'!$C$6+7*19)),AND(N(INDEX('İzin Planı'!$L$6:$L$35,22-5))&gt;0,INDEX('İzin Planı'!$L$6:$L$35,22-5)&lt;=('Özet'!$C$6+7*19)+6,INDEX('İzin Planı'!$M$6:$M$35,22-5)&gt;=('Özet'!$C$6+7*19))),"İ",""))</f>
      </c>
      <c r="W22" s="13">
        <f>IF(INDEX('İzin Planı'!$C$6:$C$35,22-5)="","",IF(OR(AND(N(INDEX('İzin Planı'!$F$6:$F$35,22-5))&gt;0,INDEX('İzin Planı'!$F$6:$F$35,22-5)&lt;=('Özet'!$C$6+7*20)+6,INDEX('İzin Planı'!$G$6:$G$35,22-5)&gt;=('Özet'!$C$6+7*20)),AND(N(INDEX('İzin Planı'!$I$6:$I$35,22-5))&gt;0,INDEX('İzin Planı'!$I$6:$I$35,22-5)&lt;=('Özet'!$C$6+7*20)+6,INDEX('İzin Planı'!$J$6:$J$35,22-5)&gt;=('Özet'!$C$6+7*20)),AND(N(INDEX('İzin Planı'!$L$6:$L$35,22-5))&gt;0,INDEX('İzin Planı'!$L$6:$L$35,22-5)&lt;=('Özet'!$C$6+7*20)+6,INDEX('İzin Planı'!$M$6:$M$35,22-5)&gt;=('Özet'!$C$6+7*20))),"İ",""))</f>
      </c>
      <c r="X22" s="13">
        <f>IF(INDEX('İzin Planı'!$C$6:$C$35,22-5)="","",IF(OR(AND(N(INDEX('İzin Planı'!$F$6:$F$35,22-5))&gt;0,INDEX('İzin Planı'!$F$6:$F$35,22-5)&lt;=('Özet'!$C$6+7*21)+6,INDEX('İzin Planı'!$G$6:$G$35,22-5)&gt;=('Özet'!$C$6+7*21)),AND(N(INDEX('İzin Planı'!$I$6:$I$35,22-5))&gt;0,INDEX('İzin Planı'!$I$6:$I$35,22-5)&lt;=('Özet'!$C$6+7*21)+6,INDEX('İzin Planı'!$J$6:$J$35,22-5)&gt;=('Özet'!$C$6+7*21)),AND(N(INDEX('İzin Planı'!$L$6:$L$35,22-5))&gt;0,INDEX('İzin Planı'!$L$6:$L$35,22-5)&lt;=('Özet'!$C$6+7*21)+6,INDEX('İzin Planı'!$M$6:$M$35,22-5)&gt;=('Özet'!$C$6+7*21))),"İ",""))</f>
      </c>
      <c r="Y22" s="13">
        <f>IF(INDEX('İzin Planı'!$C$6:$C$35,22-5)="","",IF(OR(AND(N(INDEX('İzin Planı'!$F$6:$F$35,22-5))&gt;0,INDEX('İzin Planı'!$F$6:$F$35,22-5)&lt;=('Özet'!$C$6+7*22)+6,INDEX('İzin Planı'!$G$6:$G$35,22-5)&gt;=('Özet'!$C$6+7*22)),AND(N(INDEX('İzin Planı'!$I$6:$I$35,22-5))&gt;0,INDEX('İzin Planı'!$I$6:$I$35,22-5)&lt;=('Özet'!$C$6+7*22)+6,INDEX('İzin Planı'!$J$6:$J$35,22-5)&gt;=('Özet'!$C$6+7*22)),AND(N(INDEX('İzin Planı'!$L$6:$L$35,22-5))&gt;0,INDEX('İzin Planı'!$L$6:$L$35,22-5)&lt;=('Özet'!$C$6+7*22)+6,INDEX('İzin Planı'!$M$6:$M$35,22-5)&gt;=('Özet'!$C$6+7*22))),"İ",""))</f>
      </c>
      <c r="Z22" s="13">
        <f>IF(INDEX('İzin Planı'!$C$6:$C$35,22-5)="","",IF(OR(AND(N(INDEX('İzin Planı'!$F$6:$F$35,22-5))&gt;0,INDEX('İzin Planı'!$F$6:$F$35,22-5)&lt;=('Özet'!$C$6+7*23)+6,INDEX('İzin Planı'!$G$6:$G$35,22-5)&gt;=('Özet'!$C$6+7*23)),AND(N(INDEX('İzin Planı'!$I$6:$I$35,22-5))&gt;0,INDEX('İzin Planı'!$I$6:$I$35,22-5)&lt;=('Özet'!$C$6+7*23)+6,INDEX('İzin Planı'!$J$6:$J$35,22-5)&gt;=('Özet'!$C$6+7*23)),AND(N(INDEX('İzin Planı'!$L$6:$L$35,22-5))&gt;0,INDEX('İzin Planı'!$L$6:$L$35,22-5)&lt;=('Özet'!$C$6+7*23)+6,INDEX('İzin Planı'!$M$6:$M$35,22-5)&gt;=('Özet'!$C$6+7*23))),"İ",""))</f>
      </c>
      <c r="AA22" s="13">
        <f>IF(INDEX('İzin Planı'!$C$6:$C$35,22-5)="","",IF(OR(AND(N(INDEX('İzin Planı'!$F$6:$F$35,22-5))&gt;0,INDEX('İzin Planı'!$F$6:$F$35,22-5)&lt;=('Özet'!$C$6+7*24)+6,INDEX('İzin Planı'!$G$6:$G$35,22-5)&gt;=('Özet'!$C$6+7*24)),AND(N(INDEX('İzin Planı'!$I$6:$I$35,22-5))&gt;0,INDEX('İzin Planı'!$I$6:$I$35,22-5)&lt;=('Özet'!$C$6+7*24)+6,INDEX('İzin Planı'!$J$6:$J$35,22-5)&gt;=('Özet'!$C$6+7*24)),AND(N(INDEX('İzin Planı'!$L$6:$L$35,22-5))&gt;0,INDEX('İzin Planı'!$L$6:$L$35,22-5)&lt;=('Özet'!$C$6+7*24)+6,INDEX('İzin Planı'!$M$6:$M$35,22-5)&gt;=('Özet'!$C$6+7*24))),"İ",""))</f>
      </c>
      <c r="AB22" s="13">
        <f>IF(INDEX('İzin Planı'!$C$6:$C$35,22-5)="","",IF(OR(AND(N(INDEX('İzin Planı'!$F$6:$F$35,22-5))&gt;0,INDEX('İzin Planı'!$F$6:$F$35,22-5)&lt;=('Özet'!$C$6+7*25)+6,INDEX('İzin Planı'!$G$6:$G$35,22-5)&gt;=('Özet'!$C$6+7*25)),AND(N(INDEX('İzin Planı'!$I$6:$I$35,22-5))&gt;0,INDEX('İzin Planı'!$I$6:$I$35,22-5)&lt;=('Özet'!$C$6+7*25)+6,INDEX('İzin Planı'!$J$6:$J$35,22-5)&gt;=('Özet'!$C$6+7*25)),AND(N(INDEX('İzin Planı'!$L$6:$L$35,22-5))&gt;0,INDEX('İzin Planı'!$L$6:$L$35,22-5)&lt;=('Özet'!$C$6+7*25)+6,INDEX('İzin Planı'!$M$6:$M$35,22-5)&gt;=('Özet'!$C$6+7*25))),"İ",""))</f>
      </c>
      <c r="AC22" s="13">
        <f>IF(INDEX('İzin Planı'!$C$6:$C$35,22-5)="","",IF(OR(AND(N(INDEX('İzin Planı'!$F$6:$F$35,22-5))&gt;0,INDEX('İzin Planı'!$F$6:$F$35,22-5)&lt;=('Özet'!$C$6+7*26)+6,INDEX('İzin Planı'!$G$6:$G$35,22-5)&gt;=('Özet'!$C$6+7*26)),AND(N(INDEX('İzin Planı'!$I$6:$I$35,22-5))&gt;0,INDEX('İzin Planı'!$I$6:$I$35,22-5)&lt;=('Özet'!$C$6+7*26)+6,INDEX('İzin Planı'!$J$6:$J$35,22-5)&gt;=('Özet'!$C$6+7*26)),AND(N(INDEX('İzin Planı'!$L$6:$L$35,22-5))&gt;0,INDEX('İzin Planı'!$L$6:$L$35,22-5)&lt;=('Özet'!$C$6+7*26)+6,INDEX('İzin Planı'!$M$6:$M$35,22-5)&gt;=('Özet'!$C$6+7*26))),"İ",""))</f>
      </c>
      <c r="AD22" s="13">
        <f>IF(INDEX('İzin Planı'!$C$6:$C$35,22-5)="","",IF(OR(AND(N(INDEX('İzin Planı'!$F$6:$F$35,22-5))&gt;0,INDEX('İzin Planı'!$F$6:$F$35,22-5)&lt;=('Özet'!$C$6+7*27)+6,INDEX('İzin Planı'!$G$6:$G$35,22-5)&gt;=('Özet'!$C$6+7*27)),AND(N(INDEX('İzin Planı'!$I$6:$I$35,22-5))&gt;0,INDEX('İzin Planı'!$I$6:$I$35,22-5)&lt;=('Özet'!$C$6+7*27)+6,INDEX('İzin Planı'!$J$6:$J$35,22-5)&gt;=('Özet'!$C$6+7*27)),AND(N(INDEX('İzin Planı'!$L$6:$L$35,22-5))&gt;0,INDEX('İzin Planı'!$L$6:$L$35,22-5)&lt;=('Özet'!$C$6+7*27)+6,INDEX('İzin Planı'!$M$6:$M$35,22-5)&gt;=('Özet'!$C$6+7*27))),"İ",""))</f>
      </c>
      <c r="AE22" s="13">
        <f>IF(INDEX('İzin Planı'!$C$6:$C$35,22-5)="","",IF(OR(AND(N(INDEX('İzin Planı'!$F$6:$F$35,22-5))&gt;0,INDEX('İzin Planı'!$F$6:$F$35,22-5)&lt;=('Özet'!$C$6+7*28)+6,INDEX('İzin Planı'!$G$6:$G$35,22-5)&gt;=('Özet'!$C$6+7*28)),AND(N(INDEX('İzin Planı'!$I$6:$I$35,22-5))&gt;0,INDEX('İzin Planı'!$I$6:$I$35,22-5)&lt;=('Özet'!$C$6+7*28)+6,INDEX('İzin Planı'!$J$6:$J$35,22-5)&gt;=('Özet'!$C$6+7*28)),AND(N(INDEX('İzin Planı'!$L$6:$L$35,22-5))&gt;0,INDEX('İzin Planı'!$L$6:$L$35,22-5)&lt;=('Özet'!$C$6+7*28)+6,INDEX('İzin Planı'!$M$6:$M$35,22-5)&gt;=('Özet'!$C$6+7*28))),"İ",""))</f>
      </c>
      <c r="AF22" s="13">
        <f>IF(INDEX('İzin Planı'!$C$6:$C$35,22-5)="","",IF(OR(AND(N(INDEX('İzin Planı'!$F$6:$F$35,22-5))&gt;0,INDEX('İzin Planı'!$F$6:$F$35,22-5)&lt;=('Özet'!$C$6+7*29)+6,INDEX('İzin Planı'!$G$6:$G$35,22-5)&gt;=('Özet'!$C$6+7*29)),AND(N(INDEX('İzin Planı'!$I$6:$I$35,22-5))&gt;0,INDEX('İzin Planı'!$I$6:$I$35,22-5)&lt;=('Özet'!$C$6+7*29)+6,INDEX('İzin Planı'!$J$6:$J$35,22-5)&gt;=('Özet'!$C$6+7*29)),AND(N(INDEX('İzin Planı'!$L$6:$L$35,22-5))&gt;0,INDEX('İzin Planı'!$L$6:$L$35,22-5)&lt;=('Özet'!$C$6+7*29)+6,INDEX('İzin Planı'!$M$6:$M$35,22-5)&gt;=('Özet'!$C$6+7*29))),"İ",""))</f>
      </c>
      <c r="AG22" s="13">
        <f>IF(INDEX('İzin Planı'!$C$6:$C$35,22-5)="","",IF(OR(AND(N(INDEX('İzin Planı'!$F$6:$F$35,22-5))&gt;0,INDEX('İzin Planı'!$F$6:$F$35,22-5)&lt;=('Özet'!$C$6+7*30)+6,INDEX('İzin Planı'!$G$6:$G$35,22-5)&gt;=('Özet'!$C$6+7*30)),AND(N(INDEX('İzin Planı'!$I$6:$I$35,22-5))&gt;0,INDEX('İzin Planı'!$I$6:$I$35,22-5)&lt;=('Özet'!$C$6+7*30)+6,INDEX('İzin Planı'!$J$6:$J$35,22-5)&gt;=('Özet'!$C$6+7*30)),AND(N(INDEX('İzin Planı'!$L$6:$L$35,22-5))&gt;0,INDEX('İzin Planı'!$L$6:$L$35,22-5)&lt;=('Özet'!$C$6+7*30)+6,INDEX('İzin Planı'!$M$6:$M$35,22-5)&gt;=('Özet'!$C$6+7*30))),"İ",""))</f>
      </c>
      <c r="AH22" s="13">
        <f>IF(INDEX('İzin Planı'!$C$6:$C$35,22-5)="","",IF(OR(AND(N(INDEX('İzin Planı'!$F$6:$F$35,22-5))&gt;0,INDEX('İzin Planı'!$F$6:$F$35,22-5)&lt;=('Özet'!$C$6+7*31)+6,INDEX('İzin Planı'!$G$6:$G$35,22-5)&gt;=('Özet'!$C$6+7*31)),AND(N(INDEX('İzin Planı'!$I$6:$I$35,22-5))&gt;0,INDEX('İzin Planı'!$I$6:$I$35,22-5)&lt;=('Özet'!$C$6+7*31)+6,INDEX('İzin Planı'!$J$6:$J$35,22-5)&gt;=('Özet'!$C$6+7*31)),AND(N(INDEX('İzin Planı'!$L$6:$L$35,22-5))&gt;0,INDEX('İzin Planı'!$L$6:$L$35,22-5)&lt;=('Özet'!$C$6+7*31)+6,INDEX('İzin Planı'!$M$6:$M$35,22-5)&gt;=('Özet'!$C$6+7*31))),"İ",""))</f>
      </c>
      <c r="AI22" s="13">
        <f>IF(INDEX('İzin Planı'!$C$6:$C$35,22-5)="","",IF(OR(AND(N(INDEX('İzin Planı'!$F$6:$F$35,22-5))&gt;0,INDEX('İzin Planı'!$F$6:$F$35,22-5)&lt;=('Özet'!$C$6+7*32)+6,INDEX('İzin Planı'!$G$6:$G$35,22-5)&gt;=('Özet'!$C$6+7*32)),AND(N(INDEX('İzin Planı'!$I$6:$I$35,22-5))&gt;0,INDEX('İzin Planı'!$I$6:$I$35,22-5)&lt;=('Özet'!$C$6+7*32)+6,INDEX('İzin Planı'!$J$6:$J$35,22-5)&gt;=('Özet'!$C$6+7*32)),AND(N(INDEX('İzin Planı'!$L$6:$L$35,22-5))&gt;0,INDEX('İzin Planı'!$L$6:$L$35,22-5)&lt;=('Özet'!$C$6+7*32)+6,INDEX('İzin Planı'!$M$6:$M$35,22-5)&gt;=('Özet'!$C$6+7*32))),"İ",""))</f>
      </c>
      <c r="AJ22" s="13">
        <f>IF(INDEX('İzin Planı'!$C$6:$C$35,22-5)="","",IF(OR(AND(N(INDEX('İzin Planı'!$F$6:$F$35,22-5))&gt;0,INDEX('İzin Planı'!$F$6:$F$35,22-5)&lt;=('Özet'!$C$6+7*33)+6,INDEX('İzin Planı'!$G$6:$G$35,22-5)&gt;=('Özet'!$C$6+7*33)),AND(N(INDEX('İzin Planı'!$I$6:$I$35,22-5))&gt;0,INDEX('İzin Planı'!$I$6:$I$35,22-5)&lt;=('Özet'!$C$6+7*33)+6,INDEX('İzin Planı'!$J$6:$J$35,22-5)&gt;=('Özet'!$C$6+7*33)),AND(N(INDEX('İzin Planı'!$L$6:$L$35,22-5))&gt;0,INDEX('İzin Planı'!$L$6:$L$35,22-5)&lt;=('Özet'!$C$6+7*33)+6,INDEX('İzin Planı'!$M$6:$M$35,22-5)&gt;=('Özet'!$C$6+7*33))),"İ",""))</f>
      </c>
      <c r="AK22" s="13">
        <f>IF(INDEX('İzin Planı'!$C$6:$C$35,22-5)="","",IF(OR(AND(N(INDEX('İzin Planı'!$F$6:$F$35,22-5))&gt;0,INDEX('İzin Planı'!$F$6:$F$35,22-5)&lt;=('Özet'!$C$6+7*34)+6,INDEX('İzin Planı'!$G$6:$G$35,22-5)&gt;=('Özet'!$C$6+7*34)),AND(N(INDEX('İzin Planı'!$I$6:$I$35,22-5))&gt;0,INDEX('İzin Planı'!$I$6:$I$35,22-5)&lt;=('Özet'!$C$6+7*34)+6,INDEX('İzin Planı'!$J$6:$J$35,22-5)&gt;=('Özet'!$C$6+7*34)),AND(N(INDEX('İzin Planı'!$L$6:$L$35,22-5))&gt;0,INDEX('İzin Planı'!$L$6:$L$35,22-5)&lt;=('Özet'!$C$6+7*34)+6,INDEX('İzin Planı'!$M$6:$M$35,22-5)&gt;=('Özet'!$C$6+7*34))),"İ",""))</f>
      </c>
      <c r="AL22" s="13">
        <f>IF(INDEX('İzin Planı'!$C$6:$C$35,22-5)="","",IF(OR(AND(N(INDEX('İzin Planı'!$F$6:$F$35,22-5))&gt;0,INDEX('İzin Planı'!$F$6:$F$35,22-5)&lt;=('Özet'!$C$6+7*35)+6,INDEX('İzin Planı'!$G$6:$G$35,22-5)&gt;=('Özet'!$C$6+7*35)),AND(N(INDEX('İzin Planı'!$I$6:$I$35,22-5))&gt;0,INDEX('İzin Planı'!$I$6:$I$35,22-5)&lt;=('Özet'!$C$6+7*35)+6,INDEX('İzin Planı'!$J$6:$J$35,22-5)&gt;=('Özet'!$C$6+7*35)),AND(N(INDEX('İzin Planı'!$L$6:$L$35,22-5))&gt;0,INDEX('İzin Planı'!$L$6:$L$35,22-5)&lt;=('Özet'!$C$6+7*35)+6,INDEX('İzin Planı'!$M$6:$M$35,22-5)&gt;=('Özet'!$C$6+7*35))),"İ",""))</f>
      </c>
      <c r="AM22" s="13">
        <f>IF(INDEX('İzin Planı'!$C$6:$C$35,22-5)="","",IF(OR(AND(N(INDEX('İzin Planı'!$F$6:$F$35,22-5))&gt;0,INDEX('İzin Planı'!$F$6:$F$35,22-5)&lt;=('Özet'!$C$6+7*36)+6,INDEX('İzin Planı'!$G$6:$G$35,22-5)&gt;=('Özet'!$C$6+7*36)),AND(N(INDEX('İzin Planı'!$I$6:$I$35,22-5))&gt;0,INDEX('İzin Planı'!$I$6:$I$35,22-5)&lt;=('Özet'!$C$6+7*36)+6,INDEX('İzin Planı'!$J$6:$J$35,22-5)&gt;=('Özet'!$C$6+7*36)),AND(N(INDEX('İzin Planı'!$L$6:$L$35,22-5))&gt;0,INDEX('İzin Planı'!$L$6:$L$35,22-5)&lt;=('Özet'!$C$6+7*36)+6,INDEX('İzin Planı'!$M$6:$M$35,22-5)&gt;=('Özet'!$C$6+7*36))),"İ",""))</f>
      </c>
      <c r="AN22" s="13">
        <f>IF(INDEX('İzin Planı'!$C$6:$C$35,22-5)="","",IF(OR(AND(N(INDEX('İzin Planı'!$F$6:$F$35,22-5))&gt;0,INDEX('İzin Planı'!$F$6:$F$35,22-5)&lt;=('Özet'!$C$6+7*37)+6,INDEX('İzin Planı'!$G$6:$G$35,22-5)&gt;=('Özet'!$C$6+7*37)),AND(N(INDEX('İzin Planı'!$I$6:$I$35,22-5))&gt;0,INDEX('İzin Planı'!$I$6:$I$35,22-5)&lt;=('Özet'!$C$6+7*37)+6,INDEX('İzin Planı'!$J$6:$J$35,22-5)&gt;=('Özet'!$C$6+7*37)),AND(N(INDEX('İzin Planı'!$L$6:$L$35,22-5))&gt;0,INDEX('İzin Planı'!$L$6:$L$35,22-5)&lt;=('Özet'!$C$6+7*37)+6,INDEX('İzin Planı'!$M$6:$M$35,22-5)&gt;=('Özet'!$C$6+7*37))),"İ",""))</f>
      </c>
      <c r="AO22" s="13">
        <f>IF(INDEX('İzin Planı'!$C$6:$C$35,22-5)="","",IF(OR(AND(N(INDEX('İzin Planı'!$F$6:$F$35,22-5))&gt;0,INDEX('İzin Planı'!$F$6:$F$35,22-5)&lt;=('Özet'!$C$6+7*38)+6,INDEX('İzin Planı'!$G$6:$G$35,22-5)&gt;=('Özet'!$C$6+7*38)),AND(N(INDEX('İzin Planı'!$I$6:$I$35,22-5))&gt;0,INDEX('İzin Planı'!$I$6:$I$35,22-5)&lt;=('Özet'!$C$6+7*38)+6,INDEX('İzin Planı'!$J$6:$J$35,22-5)&gt;=('Özet'!$C$6+7*38)),AND(N(INDEX('İzin Planı'!$L$6:$L$35,22-5))&gt;0,INDEX('İzin Planı'!$L$6:$L$35,22-5)&lt;=('Özet'!$C$6+7*38)+6,INDEX('İzin Planı'!$M$6:$M$35,22-5)&gt;=('Özet'!$C$6+7*38))),"İ",""))</f>
      </c>
      <c r="AP22" s="13">
        <f>IF(INDEX('İzin Planı'!$C$6:$C$35,22-5)="","",IF(OR(AND(N(INDEX('İzin Planı'!$F$6:$F$35,22-5))&gt;0,INDEX('İzin Planı'!$F$6:$F$35,22-5)&lt;=('Özet'!$C$6+7*39)+6,INDEX('İzin Planı'!$G$6:$G$35,22-5)&gt;=('Özet'!$C$6+7*39)),AND(N(INDEX('İzin Planı'!$I$6:$I$35,22-5))&gt;0,INDEX('İzin Planı'!$I$6:$I$35,22-5)&lt;=('Özet'!$C$6+7*39)+6,INDEX('İzin Planı'!$J$6:$J$35,22-5)&gt;=('Özet'!$C$6+7*39)),AND(N(INDEX('İzin Planı'!$L$6:$L$35,22-5))&gt;0,INDEX('İzin Planı'!$L$6:$L$35,22-5)&lt;=('Özet'!$C$6+7*39)+6,INDEX('İzin Planı'!$M$6:$M$35,22-5)&gt;=('Özet'!$C$6+7*39))),"İ",""))</f>
      </c>
      <c r="AQ22" s="13">
        <f>IF(INDEX('İzin Planı'!$C$6:$C$35,22-5)="","",IF(OR(AND(N(INDEX('İzin Planı'!$F$6:$F$35,22-5))&gt;0,INDEX('İzin Planı'!$F$6:$F$35,22-5)&lt;=('Özet'!$C$6+7*40)+6,INDEX('İzin Planı'!$G$6:$G$35,22-5)&gt;=('Özet'!$C$6+7*40)),AND(N(INDEX('İzin Planı'!$I$6:$I$35,22-5))&gt;0,INDEX('İzin Planı'!$I$6:$I$35,22-5)&lt;=('Özet'!$C$6+7*40)+6,INDEX('İzin Planı'!$J$6:$J$35,22-5)&gt;=('Özet'!$C$6+7*40)),AND(N(INDEX('İzin Planı'!$L$6:$L$35,22-5))&gt;0,INDEX('İzin Planı'!$L$6:$L$35,22-5)&lt;=('Özet'!$C$6+7*40)+6,INDEX('İzin Planı'!$M$6:$M$35,22-5)&gt;=('Özet'!$C$6+7*40))),"İ",""))</f>
      </c>
      <c r="AR22" s="13">
        <f>IF(INDEX('İzin Planı'!$C$6:$C$35,22-5)="","",IF(OR(AND(N(INDEX('İzin Planı'!$F$6:$F$35,22-5))&gt;0,INDEX('İzin Planı'!$F$6:$F$35,22-5)&lt;=('Özet'!$C$6+7*41)+6,INDEX('İzin Planı'!$G$6:$G$35,22-5)&gt;=('Özet'!$C$6+7*41)),AND(N(INDEX('İzin Planı'!$I$6:$I$35,22-5))&gt;0,INDEX('İzin Planı'!$I$6:$I$35,22-5)&lt;=('Özet'!$C$6+7*41)+6,INDEX('İzin Planı'!$J$6:$J$35,22-5)&gt;=('Özet'!$C$6+7*41)),AND(N(INDEX('İzin Planı'!$L$6:$L$35,22-5))&gt;0,INDEX('İzin Planı'!$L$6:$L$35,22-5)&lt;=('Özet'!$C$6+7*41)+6,INDEX('İzin Planı'!$M$6:$M$35,22-5)&gt;=('Özet'!$C$6+7*41))),"İ",""))</f>
      </c>
      <c r="AS22" s="13">
        <f>IF(INDEX('İzin Planı'!$C$6:$C$35,22-5)="","",IF(OR(AND(N(INDEX('İzin Planı'!$F$6:$F$35,22-5))&gt;0,INDEX('İzin Planı'!$F$6:$F$35,22-5)&lt;=('Özet'!$C$6+7*42)+6,INDEX('İzin Planı'!$G$6:$G$35,22-5)&gt;=('Özet'!$C$6+7*42)),AND(N(INDEX('İzin Planı'!$I$6:$I$35,22-5))&gt;0,INDEX('İzin Planı'!$I$6:$I$35,22-5)&lt;=('Özet'!$C$6+7*42)+6,INDEX('İzin Planı'!$J$6:$J$35,22-5)&gt;=('Özet'!$C$6+7*42)),AND(N(INDEX('İzin Planı'!$L$6:$L$35,22-5))&gt;0,INDEX('İzin Planı'!$L$6:$L$35,22-5)&lt;=('Özet'!$C$6+7*42)+6,INDEX('İzin Planı'!$M$6:$M$35,22-5)&gt;=('Özet'!$C$6+7*42))),"İ",""))</f>
      </c>
      <c r="AT22" s="13">
        <f>IF(INDEX('İzin Planı'!$C$6:$C$35,22-5)="","",IF(OR(AND(N(INDEX('İzin Planı'!$F$6:$F$35,22-5))&gt;0,INDEX('İzin Planı'!$F$6:$F$35,22-5)&lt;=('Özet'!$C$6+7*43)+6,INDEX('İzin Planı'!$G$6:$G$35,22-5)&gt;=('Özet'!$C$6+7*43)),AND(N(INDEX('İzin Planı'!$I$6:$I$35,22-5))&gt;0,INDEX('İzin Planı'!$I$6:$I$35,22-5)&lt;=('Özet'!$C$6+7*43)+6,INDEX('İzin Planı'!$J$6:$J$35,22-5)&gt;=('Özet'!$C$6+7*43)),AND(N(INDEX('İzin Planı'!$L$6:$L$35,22-5))&gt;0,INDEX('İzin Planı'!$L$6:$L$35,22-5)&lt;=('Özet'!$C$6+7*43)+6,INDEX('İzin Planı'!$M$6:$M$35,22-5)&gt;=('Özet'!$C$6+7*43))),"İ",""))</f>
      </c>
      <c r="AU22" s="13">
        <f>IF(INDEX('İzin Planı'!$C$6:$C$35,22-5)="","",IF(OR(AND(N(INDEX('İzin Planı'!$F$6:$F$35,22-5))&gt;0,INDEX('İzin Planı'!$F$6:$F$35,22-5)&lt;=('Özet'!$C$6+7*44)+6,INDEX('İzin Planı'!$G$6:$G$35,22-5)&gt;=('Özet'!$C$6+7*44)),AND(N(INDEX('İzin Planı'!$I$6:$I$35,22-5))&gt;0,INDEX('İzin Planı'!$I$6:$I$35,22-5)&lt;=('Özet'!$C$6+7*44)+6,INDEX('İzin Planı'!$J$6:$J$35,22-5)&gt;=('Özet'!$C$6+7*44)),AND(N(INDEX('İzin Planı'!$L$6:$L$35,22-5))&gt;0,INDEX('İzin Planı'!$L$6:$L$35,22-5)&lt;=('Özet'!$C$6+7*44)+6,INDEX('İzin Planı'!$M$6:$M$35,22-5)&gt;=('Özet'!$C$6+7*44))),"İ",""))</f>
      </c>
      <c r="AV22" s="13">
        <f>IF(INDEX('İzin Planı'!$C$6:$C$35,22-5)="","",IF(OR(AND(N(INDEX('İzin Planı'!$F$6:$F$35,22-5))&gt;0,INDEX('İzin Planı'!$F$6:$F$35,22-5)&lt;=('Özet'!$C$6+7*45)+6,INDEX('İzin Planı'!$G$6:$G$35,22-5)&gt;=('Özet'!$C$6+7*45)),AND(N(INDEX('İzin Planı'!$I$6:$I$35,22-5))&gt;0,INDEX('İzin Planı'!$I$6:$I$35,22-5)&lt;=('Özet'!$C$6+7*45)+6,INDEX('İzin Planı'!$J$6:$J$35,22-5)&gt;=('Özet'!$C$6+7*45)),AND(N(INDEX('İzin Planı'!$L$6:$L$35,22-5))&gt;0,INDEX('İzin Planı'!$L$6:$L$35,22-5)&lt;=('Özet'!$C$6+7*45)+6,INDEX('İzin Planı'!$M$6:$M$35,22-5)&gt;=('Özet'!$C$6+7*45))),"İ",""))</f>
      </c>
      <c r="AW22" s="13">
        <f>IF(INDEX('İzin Planı'!$C$6:$C$35,22-5)="","",IF(OR(AND(N(INDEX('İzin Planı'!$F$6:$F$35,22-5))&gt;0,INDEX('İzin Planı'!$F$6:$F$35,22-5)&lt;=('Özet'!$C$6+7*46)+6,INDEX('İzin Planı'!$G$6:$G$35,22-5)&gt;=('Özet'!$C$6+7*46)),AND(N(INDEX('İzin Planı'!$I$6:$I$35,22-5))&gt;0,INDEX('İzin Planı'!$I$6:$I$35,22-5)&lt;=('Özet'!$C$6+7*46)+6,INDEX('İzin Planı'!$J$6:$J$35,22-5)&gt;=('Özet'!$C$6+7*46)),AND(N(INDEX('İzin Planı'!$L$6:$L$35,22-5))&gt;0,INDEX('İzin Planı'!$L$6:$L$35,22-5)&lt;=('Özet'!$C$6+7*46)+6,INDEX('İzin Planı'!$M$6:$M$35,22-5)&gt;=('Özet'!$C$6+7*46))),"İ",""))</f>
      </c>
      <c r="AX22" s="13">
        <f>IF(INDEX('İzin Planı'!$C$6:$C$35,22-5)="","",IF(OR(AND(N(INDEX('İzin Planı'!$F$6:$F$35,22-5))&gt;0,INDEX('İzin Planı'!$F$6:$F$35,22-5)&lt;=('Özet'!$C$6+7*47)+6,INDEX('İzin Planı'!$G$6:$G$35,22-5)&gt;=('Özet'!$C$6+7*47)),AND(N(INDEX('İzin Planı'!$I$6:$I$35,22-5))&gt;0,INDEX('İzin Planı'!$I$6:$I$35,22-5)&lt;=('Özet'!$C$6+7*47)+6,INDEX('İzin Planı'!$J$6:$J$35,22-5)&gt;=('Özet'!$C$6+7*47)),AND(N(INDEX('İzin Planı'!$L$6:$L$35,22-5))&gt;0,INDEX('İzin Planı'!$L$6:$L$35,22-5)&lt;=('Özet'!$C$6+7*47)+6,INDEX('İzin Planı'!$M$6:$M$35,22-5)&gt;=('Özet'!$C$6+7*47))),"İ",""))</f>
      </c>
      <c r="AY22" s="13">
        <f>IF(INDEX('İzin Planı'!$C$6:$C$35,22-5)="","",IF(OR(AND(N(INDEX('İzin Planı'!$F$6:$F$35,22-5))&gt;0,INDEX('İzin Planı'!$F$6:$F$35,22-5)&lt;=('Özet'!$C$6+7*48)+6,INDEX('İzin Planı'!$G$6:$G$35,22-5)&gt;=('Özet'!$C$6+7*48)),AND(N(INDEX('İzin Planı'!$I$6:$I$35,22-5))&gt;0,INDEX('İzin Planı'!$I$6:$I$35,22-5)&lt;=('Özet'!$C$6+7*48)+6,INDEX('İzin Planı'!$J$6:$J$35,22-5)&gt;=('Özet'!$C$6+7*48)),AND(N(INDEX('İzin Planı'!$L$6:$L$35,22-5))&gt;0,INDEX('İzin Planı'!$L$6:$L$35,22-5)&lt;=('Özet'!$C$6+7*48)+6,INDEX('İzin Planı'!$M$6:$M$35,22-5)&gt;=('Özet'!$C$6+7*48))),"İ",""))</f>
      </c>
      <c r="AZ22" s="13">
        <f>IF(INDEX('İzin Planı'!$C$6:$C$35,22-5)="","",IF(OR(AND(N(INDEX('İzin Planı'!$F$6:$F$35,22-5))&gt;0,INDEX('İzin Planı'!$F$6:$F$35,22-5)&lt;=('Özet'!$C$6+7*49)+6,INDEX('İzin Planı'!$G$6:$G$35,22-5)&gt;=('Özet'!$C$6+7*49)),AND(N(INDEX('İzin Planı'!$I$6:$I$35,22-5))&gt;0,INDEX('İzin Planı'!$I$6:$I$35,22-5)&lt;=('Özet'!$C$6+7*49)+6,INDEX('İzin Planı'!$J$6:$J$35,22-5)&gt;=('Özet'!$C$6+7*49)),AND(N(INDEX('İzin Planı'!$L$6:$L$35,22-5))&gt;0,INDEX('İzin Planı'!$L$6:$L$35,22-5)&lt;=('Özet'!$C$6+7*49)+6,INDEX('İzin Planı'!$M$6:$M$35,22-5)&gt;=('Özet'!$C$6+7*49))),"İ",""))</f>
      </c>
      <c r="BA22" s="13">
        <f>IF(INDEX('İzin Planı'!$C$6:$C$35,22-5)="","",IF(OR(AND(N(INDEX('İzin Planı'!$F$6:$F$35,22-5))&gt;0,INDEX('İzin Planı'!$F$6:$F$35,22-5)&lt;=('Özet'!$C$6+7*50)+6,INDEX('İzin Planı'!$G$6:$G$35,22-5)&gt;=('Özet'!$C$6+7*50)),AND(N(INDEX('İzin Planı'!$I$6:$I$35,22-5))&gt;0,INDEX('İzin Planı'!$I$6:$I$35,22-5)&lt;=('Özet'!$C$6+7*50)+6,INDEX('İzin Planı'!$J$6:$J$35,22-5)&gt;=('Özet'!$C$6+7*50)),AND(N(INDEX('İzin Planı'!$L$6:$L$35,22-5))&gt;0,INDEX('İzin Planı'!$L$6:$L$35,22-5)&lt;=('Özet'!$C$6+7*50)+6,INDEX('İzin Planı'!$M$6:$M$35,22-5)&gt;=('Özet'!$C$6+7*50))),"İ",""))</f>
      </c>
      <c r="BB22" s="13">
        <f>IF(INDEX('İzin Planı'!$C$6:$C$35,22-5)="","",IF(OR(AND(N(INDEX('İzin Planı'!$F$6:$F$35,22-5))&gt;0,INDEX('İzin Planı'!$F$6:$F$35,22-5)&lt;=('Özet'!$C$6+7*51)+6,INDEX('İzin Planı'!$G$6:$G$35,22-5)&gt;=('Özet'!$C$6+7*51)),AND(N(INDEX('İzin Planı'!$I$6:$I$35,22-5))&gt;0,INDEX('İzin Planı'!$I$6:$I$35,22-5)&lt;=('Özet'!$C$6+7*51)+6,INDEX('İzin Planı'!$J$6:$J$35,22-5)&gt;=('Özet'!$C$6+7*51)),AND(N(INDEX('İzin Planı'!$L$6:$L$35,22-5))&gt;0,INDEX('İzin Planı'!$L$6:$L$35,22-5)&lt;=('Özet'!$C$6+7*51)+6,INDEX('İzin Planı'!$M$6:$M$35,22-5)&gt;=('Özet'!$C$6+7*51))),"İ",""))</f>
      </c>
      <c r="BC22" s="13">
        <f>IF(INDEX('İzin Planı'!$C$6:$C$35,22-5)="","",IF(OR(AND(N(INDEX('İzin Planı'!$F$6:$F$35,22-5))&gt;0,INDEX('İzin Planı'!$F$6:$F$35,22-5)&lt;=('Özet'!$C$6+7*52)+6,INDEX('İzin Planı'!$G$6:$G$35,22-5)&gt;=('Özet'!$C$6+7*52)),AND(N(INDEX('İzin Planı'!$I$6:$I$35,22-5))&gt;0,INDEX('İzin Planı'!$I$6:$I$35,22-5)&lt;=('Özet'!$C$6+7*52)+6,INDEX('İzin Planı'!$J$6:$J$35,22-5)&gt;=('Özet'!$C$6+7*52)),AND(N(INDEX('İzin Planı'!$L$6:$L$35,22-5))&gt;0,INDEX('İzin Planı'!$L$6:$L$35,22-5)&lt;=('Özet'!$C$6+7*52)+6,INDEX('İzin Planı'!$M$6:$M$35,22-5)&gt;=('Özet'!$C$6+7*52))),"İ",""))</f>
      </c>
    </row>
    <row r="23" ht="18" customHeight="1" spans="1:55" x14ac:dyDescent="0.25">
      <c r="A23" s="6">
        <v>18</v>
      </c>
      <c r="B23" s="13">
        <f>IF(INDEX('İzin Planı'!$C$6:$C$35,23-5)="","",INDEX('İzin Planı'!$C$6:$C$35,23-5))</f>
      </c>
      <c r="C23" s="13">
        <f>IF(INDEX('İzin Planı'!$C$6:$C$35,23-5)="","",IF(OR(AND(N(INDEX('İzin Planı'!$F$6:$F$35,23-5))&gt;0,INDEX('İzin Planı'!$F$6:$F$35,23-5)&lt;=('Özet'!$C$6+7*0)+6,INDEX('İzin Planı'!$G$6:$G$35,23-5)&gt;=('Özet'!$C$6+7*0)),AND(N(INDEX('İzin Planı'!$I$6:$I$35,23-5))&gt;0,INDEX('İzin Planı'!$I$6:$I$35,23-5)&lt;=('Özet'!$C$6+7*0)+6,INDEX('İzin Planı'!$J$6:$J$35,23-5)&gt;=('Özet'!$C$6+7*0)),AND(N(INDEX('İzin Planı'!$L$6:$L$35,23-5))&gt;0,INDEX('İzin Planı'!$L$6:$L$35,23-5)&lt;=('Özet'!$C$6+7*0)+6,INDEX('İzin Planı'!$M$6:$M$35,23-5)&gt;=('Özet'!$C$6+7*0))),"İ",""))</f>
      </c>
      <c r="D23" s="13">
        <f>IF(INDEX('İzin Planı'!$C$6:$C$35,23-5)="","",IF(OR(AND(N(INDEX('İzin Planı'!$F$6:$F$35,23-5))&gt;0,INDEX('İzin Planı'!$F$6:$F$35,23-5)&lt;=('Özet'!$C$6+7*1)+6,INDEX('İzin Planı'!$G$6:$G$35,23-5)&gt;=('Özet'!$C$6+7*1)),AND(N(INDEX('İzin Planı'!$I$6:$I$35,23-5))&gt;0,INDEX('İzin Planı'!$I$6:$I$35,23-5)&lt;=('Özet'!$C$6+7*1)+6,INDEX('İzin Planı'!$J$6:$J$35,23-5)&gt;=('Özet'!$C$6+7*1)),AND(N(INDEX('İzin Planı'!$L$6:$L$35,23-5))&gt;0,INDEX('İzin Planı'!$L$6:$L$35,23-5)&lt;=('Özet'!$C$6+7*1)+6,INDEX('İzin Planı'!$M$6:$M$35,23-5)&gt;=('Özet'!$C$6+7*1))),"İ",""))</f>
      </c>
      <c r="E23" s="13">
        <f>IF(INDEX('İzin Planı'!$C$6:$C$35,23-5)="","",IF(OR(AND(N(INDEX('İzin Planı'!$F$6:$F$35,23-5))&gt;0,INDEX('İzin Planı'!$F$6:$F$35,23-5)&lt;=('Özet'!$C$6+7*2)+6,INDEX('İzin Planı'!$G$6:$G$35,23-5)&gt;=('Özet'!$C$6+7*2)),AND(N(INDEX('İzin Planı'!$I$6:$I$35,23-5))&gt;0,INDEX('İzin Planı'!$I$6:$I$35,23-5)&lt;=('Özet'!$C$6+7*2)+6,INDEX('İzin Planı'!$J$6:$J$35,23-5)&gt;=('Özet'!$C$6+7*2)),AND(N(INDEX('İzin Planı'!$L$6:$L$35,23-5))&gt;0,INDEX('İzin Planı'!$L$6:$L$35,23-5)&lt;=('Özet'!$C$6+7*2)+6,INDEX('İzin Planı'!$M$6:$M$35,23-5)&gt;=('Özet'!$C$6+7*2))),"İ",""))</f>
      </c>
      <c r="F23" s="13">
        <f>IF(INDEX('İzin Planı'!$C$6:$C$35,23-5)="","",IF(OR(AND(N(INDEX('İzin Planı'!$F$6:$F$35,23-5))&gt;0,INDEX('İzin Planı'!$F$6:$F$35,23-5)&lt;=('Özet'!$C$6+7*3)+6,INDEX('İzin Planı'!$G$6:$G$35,23-5)&gt;=('Özet'!$C$6+7*3)),AND(N(INDEX('İzin Planı'!$I$6:$I$35,23-5))&gt;0,INDEX('İzin Planı'!$I$6:$I$35,23-5)&lt;=('Özet'!$C$6+7*3)+6,INDEX('İzin Planı'!$J$6:$J$35,23-5)&gt;=('Özet'!$C$6+7*3)),AND(N(INDEX('İzin Planı'!$L$6:$L$35,23-5))&gt;0,INDEX('İzin Planı'!$L$6:$L$35,23-5)&lt;=('Özet'!$C$6+7*3)+6,INDEX('İzin Planı'!$M$6:$M$35,23-5)&gt;=('Özet'!$C$6+7*3))),"İ",""))</f>
      </c>
      <c r="G23" s="13">
        <f>IF(INDEX('İzin Planı'!$C$6:$C$35,23-5)="","",IF(OR(AND(N(INDEX('İzin Planı'!$F$6:$F$35,23-5))&gt;0,INDEX('İzin Planı'!$F$6:$F$35,23-5)&lt;=('Özet'!$C$6+7*4)+6,INDEX('İzin Planı'!$G$6:$G$35,23-5)&gt;=('Özet'!$C$6+7*4)),AND(N(INDEX('İzin Planı'!$I$6:$I$35,23-5))&gt;0,INDEX('İzin Planı'!$I$6:$I$35,23-5)&lt;=('Özet'!$C$6+7*4)+6,INDEX('İzin Planı'!$J$6:$J$35,23-5)&gt;=('Özet'!$C$6+7*4)),AND(N(INDEX('İzin Planı'!$L$6:$L$35,23-5))&gt;0,INDEX('İzin Planı'!$L$6:$L$35,23-5)&lt;=('Özet'!$C$6+7*4)+6,INDEX('İzin Planı'!$M$6:$M$35,23-5)&gt;=('Özet'!$C$6+7*4))),"İ",""))</f>
      </c>
      <c r="H23" s="13">
        <f>IF(INDEX('İzin Planı'!$C$6:$C$35,23-5)="","",IF(OR(AND(N(INDEX('İzin Planı'!$F$6:$F$35,23-5))&gt;0,INDEX('İzin Planı'!$F$6:$F$35,23-5)&lt;=('Özet'!$C$6+7*5)+6,INDEX('İzin Planı'!$G$6:$G$35,23-5)&gt;=('Özet'!$C$6+7*5)),AND(N(INDEX('İzin Planı'!$I$6:$I$35,23-5))&gt;0,INDEX('İzin Planı'!$I$6:$I$35,23-5)&lt;=('Özet'!$C$6+7*5)+6,INDEX('İzin Planı'!$J$6:$J$35,23-5)&gt;=('Özet'!$C$6+7*5)),AND(N(INDEX('İzin Planı'!$L$6:$L$35,23-5))&gt;0,INDEX('İzin Planı'!$L$6:$L$35,23-5)&lt;=('Özet'!$C$6+7*5)+6,INDEX('İzin Planı'!$M$6:$M$35,23-5)&gt;=('Özet'!$C$6+7*5))),"İ",""))</f>
      </c>
      <c r="I23" s="13">
        <f>IF(INDEX('İzin Planı'!$C$6:$C$35,23-5)="","",IF(OR(AND(N(INDEX('İzin Planı'!$F$6:$F$35,23-5))&gt;0,INDEX('İzin Planı'!$F$6:$F$35,23-5)&lt;=('Özet'!$C$6+7*6)+6,INDEX('İzin Planı'!$G$6:$G$35,23-5)&gt;=('Özet'!$C$6+7*6)),AND(N(INDEX('İzin Planı'!$I$6:$I$35,23-5))&gt;0,INDEX('İzin Planı'!$I$6:$I$35,23-5)&lt;=('Özet'!$C$6+7*6)+6,INDEX('İzin Planı'!$J$6:$J$35,23-5)&gt;=('Özet'!$C$6+7*6)),AND(N(INDEX('İzin Planı'!$L$6:$L$35,23-5))&gt;0,INDEX('İzin Planı'!$L$6:$L$35,23-5)&lt;=('Özet'!$C$6+7*6)+6,INDEX('İzin Planı'!$M$6:$M$35,23-5)&gt;=('Özet'!$C$6+7*6))),"İ",""))</f>
      </c>
      <c r="J23" s="13">
        <f>IF(INDEX('İzin Planı'!$C$6:$C$35,23-5)="","",IF(OR(AND(N(INDEX('İzin Planı'!$F$6:$F$35,23-5))&gt;0,INDEX('İzin Planı'!$F$6:$F$35,23-5)&lt;=('Özet'!$C$6+7*7)+6,INDEX('İzin Planı'!$G$6:$G$35,23-5)&gt;=('Özet'!$C$6+7*7)),AND(N(INDEX('İzin Planı'!$I$6:$I$35,23-5))&gt;0,INDEX('İzin Planı'!$I$6:$I$35,23-5)&lt;=('Özet'!$C$6+7*7)+6,INDEX('İzin Planı'!$J$6:$J$35,23-5)&gt;=('Özet'!$C$6+7*7)),AND(N(INDEX('İzin Planı'!$L$6:$L$35,23-5))&gt;0,INDEX('İzin Planı'!$L$6:$L$35,23-5)&lt;=('Özet'!$C$6+7*7)+6,INDEX('İzin Planı'!$M$6:$M$35,23-5)&gt;=('Özet'!$C$6+7*7))),"İ",""))</f>
      </c>
      <c r="K23" s="13">
        <f>IF(INDEX('İzin Planı'!$C$6:$C$35,23-5)="","",IF(OR(AND(N(INDEX('İzin Planı'!$F$6:$F$35,23-5))&gt;0,INDEX('İzin Planı'!$F$6:$F$35,23-5)&lt;=('Özet'!$C$6+7*8)+6,INDEX('İzin Planı'!$G$6:$G$35,23-5)&gt;=('Özet'!$C$6+7*8)),AND(N(INDEX('İzin Planı'!$I$6:$I$35,23-5))&gt;0,INDEX('İzin Planı'!$I$6:$I$35,23-5)&lt;=('Özet'!$C$6+7*8)+6,INDEX('İzin Planı'!$J$6:$J$35,23-5)&gt;=('Özet'!$C$6+7*8)),AND(N(INDEX('İzin Planı'!$L$6:$L$35,23-5))&gt;0,INDEX('İzin Planı'!$L$6:$L$35,23-5)&lt;=('Özet'!$C$6+7*8)+6,INDEX('İzin Planı'!$M$6:$M$35,23-5)&gt;=('Özet'!$C$6+7*8))),"İ",""))</f>
      </c>
      <c r="L23" s="13">
        <f>IF(INDEX('İzin Planı'!$C$6:$C$35,23-5)="","",IF(OR(AND(N(INDEX('İzin Planı'!$F$6:$F$35,23-5))&gt;0,INDEX('İzin Planı'!$F$6:$F$35,23-5)&lt;=('Özet'!$C$6+7*9)+6,INDEX('İzin Planı'!$G$6:$G$35,23-5)&gt;=('Özet'!$C$6+7*9)),AND(N(INDEX('İzin Planı'!$I$6:$I$35,23-5))&gt;0,INDEX('İzin Planı'!$I$6:$I$35,23-5)&lt;=('Özet'!$C$6+7*9)+6,INDEX('İzin Planı'!$J$6:$J$35,23-5)&gt;=('Özet'!$C$6+7*9)),AND(N(INDEX('İzin Planı'!$L$6:$L$35,23-5))&gt;0,INDEX('İzin Planı'!$L$6:$L$35,23-5)&lt;=('Özet'!$C$6+7*9)+6,INDEX('İzin Planı'!$M$6:$M$35,23-5)&gt;=('Özet'!$C$6+7*9))),"İ",""))</f>
      </c>
      <c r="M23" s="13">
        <f>IF(INDEX('İzin Planı'!$C$6:$C$35,23-5)="","",IF(OR(AND(N(INDEX('İzin Planı'!$F$6:$F$35,23-5))&gt;0,INDEX('İzin Planı'!$F$6:$F$35,23-5)&lt;=('Özet'!$C$6+7*10)+6,INDEX('İzin Planı'!$G$6:$G$35,23-5)&gt;=('Özet'!$C$6+7*10)),AND(N(INDEX('İzin Planı'!$I$6:$I$35,23-5))&gt;0,INDEX('İzin Planı'!$I$6:$I$35,23-5)&lt;=('Özet'!$C$6+7*10)+6,INDEX('İzin Planı'!$J$6:$J$35,23-5)&gt;=('Özet'!$C$6+7*10)),AND(N(INDEX('İzin Planı'!$L$6:$L$35,23-5))&gt;0,INDEX('İzin Planı'!$L$6:$L$35,23-5)&lt;=('Özet'!$C$6+7*10)+6,INDEX('İzin Planı'!$M$6:$M$35,23-5)&gt;=('Özet'!$C$6+7*10))),"İ",""))</f>
      </c>
      <c r="N23" s="13">
        <f>IF(INDEX('İzin Planı'!$C$6:$C$35,23-5)="","",IF(OR(AND(N(INDEX('İzin Planı'!$F$6:$F$35,23-5))&gt;0,INDEX('İzin Planı'!$F$6:$F$35,23-5)&lt;=('Özet'!$C$6+7*11)+6,INDEX('İzin Planı'!$G$6:$G$35,23-5)&gt;=('Özet'!$C$6+7*11)),AND(N(INDEX('İzin Planı'!$I$6:$I$35,23-5))&gt;0,INDEX('İzin Planı'!$I$6:$I$35,23-5)&lt;=('Özet'!$C$6+7*11)+6,INDEX('İzin Planı'!$J$6:$J$35,23-5)&gt;=('Özet'!$C$6+7*11)),AND(N(INDEX('İzin Planı'!$L$6:$L$35,23-5))&gt;0,INDEX('İzin Planı'!$L$6:$L$35,23-5)&lt;=('Özet'!$C$6+7*11)+6,INDEX('İzin Planı'!$M$6:$M$35,23-5)&gt;=('Özet'!$C$6+7*11))),"İ",""))</f>
      </c>
      <c r="O23" s="13">
        <f>IF(INDEX('İzin Planı'!$C$6:$C$35,23-5)="","",IF(OR(AND(N(INDEX('İzin Planı'!$F$6:$F$35,23-5))&gt;0,INDEX('İzin Planı'!$F$6:$F$35,23-5)&lt;=('Özet'!$C$6+7*12)+6,INDEX('İzin Planı'!$G$6:$G$35,23-5)&gt;=('Özet'!$C$6+7*12)),AND(N(INDEX('İzin Planı'!$I$6:$I$35,23-5))&gt;0,INDEX('İzin Planı'!$I$6:$I$35,23-5)&lt;=('Özet'!$C$6+7*12)+6,INDEX('İzin Planı'!$J$6:$J$35,23-5)&gt;=('Özet'!$C$6+7*12)),AND(N(INDEX('İzin Planı'!$L$6:$L$35,23-5))&gt;0,INDEX('İzin Planı'!$L$6:$L$35,23-5)&lt;=('Özet'!$C$6+7*12)+6,INDEX('İzin Planı'!$M$6:$M$35,23-5)&gt;=('Özet'!$C$6+7*12))),"İ",""))</f>
      </c>
      <c r="P23" s="13">
        <f>IF(INDEX('İzin Planı'!$C$6:$C$35,23-5)="","",IF(OR(AND(N(INDEX('İzin Planı'!$F$6:$F$35,23-5))&gt;0,INDEX('İzin Planı'!$F$6:$F$35,23-5)&lt;=('Özet'!$C$6+7*13)+6,INDEX('İzin Planı'!$G$6:$G$35,23-5)&gt;=('Özet'!$C$6+7*13)),AND(N(INDEX('İzin Planı'!$I$6:$I$35,23-5))&gt;0,INDEX('İzin Planı'!$I$6:$I$35,23-5)&lt;=('Özet'!$C$6+7*13)+6,INDEX('İzin Planı'!$J$6:$J$35,23-5)&gt;=('Özet'!$C$6+7*13)),AND(N(INDEX('İzin Planı'!$L$6:$L$35,23-5))&gt;0,INDEX('İzin Planı'!$L$6:$L$35,23-5)&lt;=('Özet'!$C$6+7*13)+6,INDEX('İzin Planı'!$M$6:$M$35,23-5)&gt;=('Özet'!$C$6+7*13))),"İ",""))</f>
      </c>
      <c r="Q23" s="13">
        <f>IF(INDEX('İzin Planı'!$C$6:$C$35,23-5)="","",IF(OR(AND(N(INDEX('İzin Planı'!$F$6:$F$35,23-5))&gt;0,INDEX('İzin Planı'!$F$6:$F$35,23-5)&lt;=('Özet'!$C$6+7*14)+6,INDEX('İzin Planı'!$G$6:$G$35,23-5)&gt;=('Özet'!$C$6+7*14)),AND(N(INDEX('İzin Planı'!$I$6:$I$35,23-5))&gt;0,INDEX('İzin Planı'!$I$6:$I$35,23-5)&lt;=('Özet'!$C$6+7*14)+6,INDEX('İzin Planı'!$J$6:$J$35,23-5)&gt;=('Özet'!$C$6+7*14)),AND(N(INDEX('İzin Planı'!$L$6:$L$35,23-5))&gt;0,INDEX('İzin Planı'!$L$6:$L$35,23-5)&lt;=('Özet'!$C$6+7*14)+6,INDEX('İzin Planı'!$M$6:$M$35,23-5)&gt;=('Özet'!$C$6+7*14))),"İ",""))</f>
      </c>
      <c r="R23" s="13">
        <f>IF(INDEX('İzin Planı'!$C$6:$C$35,23-5)="","",IF(OR(AND(N(INDEX('İzin Planı'!$F$6:$F$35,23-5))&gt;0,INDEX('İzin Planı'!$F$6:$F$35,23-5)&lt;=('Özet'!$C$6+7*15)+6,INDEX('İzin Planı'!$G$6:$G$35,23-5)&gt;=('Özet'!$C$6+7*15)),AND(N(INDEX('İzin Planı'!$I$6:$I$35,23-5))&gt;0,INDEX('İzin Planı'!$I$6:$I$35,23-5)&lt;=('Özet'!$C$6+7*15)+6,INDEX('İzin Planı'!$J$6:$J$35,23-5)&gt;=('Özet'!$C$6+7*15)),AND(N(INDEX('İzin Planı'!$L$6:$L$35,23-5))&gt;0,INDEX('İzin Planı'!$L$6:$L$35,23-5)&lt;=('Özet'!$C$6+7*15)+6,INDEX('İzin Planı'!$M$6:$M$35,23-5)&gt;=('Özet'!$C$6+7*15))),"İ",""))</f>
      </c>
      <c r="S23" s="13">
        <f>IF(INDEX('İzin Planı'!$C$6:$C$35,23-5)="","",IF(OR(AND(N(INDEX('İzin Planı'!$F$6:$F$35,23-5))&gt;0,INDEX('İzin Planı'!$F$6:$F$35,23-5)&lt;=('Özet'!$C$6+7*16)+6,INDEX('İzin Planı'!$G$6:$G$35,23-5)&gt;=('Özet'!$C$6+7*16)),AND(N(INDEX('İzin Planı'!$I$6:$I$35,23-5))&gt;0,INDEX('İzin Planı'!$I$6:$I$35,23-5)&lt;=('Özet'!$C$6+7*16)+6,INDEX('İzin Planı'!$J$6:$J$35,23-5)&gt;=('Özet'!$C$6+7*16)),AND(N(INDEX('İzin Planı'!$L$6:$L$35,23-5))&gt;0,INDEX('İzin Planı'!$L$6:$L$35,23-5)&lt;=('Özet'!$C$6+7*16)+6,INDEX('İzin Planı'!$M$6:$M$35,23-5)&gt;=('Özet'!$C$6+7*16))),"İ",""))</f>
      </c>
      <c r="T23" s="13">
        <f>IF(INDEX('İzin Planı'!$C$6:$C$35,23-5)="","",IF(OR(AND(N(INDEX('İzin Planı'!$F$6:$F$35,23-5))&gt;0,INDEX('İzin Planı'!$F$6:$F$35,23-5)&lt;=('Özet'!$C$6+7*17)+6,INDEX('İzin Planı'!$G$6:$G$35,23-5)&gt;=('Özet'!$C$6+7*17)),AND(N(INDEX('İzin Planı'!$I$6:$I$35,23-5))&gt;0,INDEX('İzin Planı'!$I$6:$I$35,23-5)&lt;=('Özet'!$C$6+7*17)+6,INDEX('İzin Planı'!$J$6:$J$35,23-5)&gt;=('Özet'!$C$6+7*17)),AND(N(INDEX('İzin Planı'!$L$6:$L$35,23-5))&gt;0,INDEX('İzin Planı'!$L$6:$L$35,23-5)&lt;=('Özet'!$C$6+7*17)+6,INDEX('İzin Planı'!$M$6:$M$35,23-5)&gt;=('Özet'!$C$6+7*17))),"İ",""))</f>
      </c>
      <c r="U23" s="13">
        <f>IF(INDEX('İzin Planı'!$C$6:$C$35,23-5)="","",IF(OR(AND(N(INDEX('İzin Planı'!$F$6:$F$35,23-5))&gt;0,INDEX('İzin Planı'!$F$6:$F$35,23-5)&lt;=('Özet'!$C$6+7*18)+6,INDEX('İzin Planı'!$G$6:$G$35,23-5)&gt;=('Özet'!$C$6+7*18)),AND(N(INDEX('İzin Planı'!$I$6:$I$35,23-5))&gt;0,INDEX('İzin Planı'!$I$6:$I$35,23-5)&lt;=('Özet'!$C$6+7*18)+6,INDEX('İzin Planı'!$J$6:$J$35,23-5)&gt;=('Özet'!$C$6+7*18)),AND(N(INDEX('İzin Planı'!$L$6:$L$35,23-5))&gt;0,INDEX('İzin Planı'!$L$6:$L$35,23-5)&lt;=('Özet'!$C$6+7*18)+6,INDEX('İzin Planı'!$M$6:$M$35,23-5)&gt;=('Özet'!$C$6+7*18))),"İ",""))</f>
      </c>
      <c r="V23" s="13">
        <f>IF(INDEX('İzin Planı'!$C$6:$C$35,23-5)="","",IF(OR(AND(N(INDEX('İzin Planı'!$F$6:$F$35,23-5))&gt;0,INDEX('İzin Planı'!$F$6:$F$35,23-5)&lt;=('Özet'!$C$6+7*19)+6,INDEX('İzin Planı'!$G$6:$G$35,23-5)&gt;=('Özet'!$C$6+7*19)),AND(N(INDEX('İzin Planı'!$I$6:$I$35,23-5))&gt;0,INDEX('İzin Planı'!$I$6:$I$35,23-5)&lt;=('Özet'!$C$6+7*19)+6,INDEX('İzin Planı'!$J$6:$J$35,23-5)&gt;=('Özet'!$C$6+7*19)),AND(N(INDEX('İzin Planı'!$L$6:$L$35,23-5))&gt;0,INDEX('İzin Planı'!$L$6:$L$35,23-5)&lt;=('Özet'!$C$6+7*19)+6,INDEX('İzin Planı'!$M$6:$M$35,23-5)&gt;=('Özet'!$C$6+7*19))),"İ",""))</f>
      </c>
      <c r="W23" s="13">
        <f>IF(INDEX('İzin Planı'!$C$6:$C$35,23-5)="","",IF(OR(AND(N(INDEX('İzin Planı'!$F$6:$F$35,23-5))&gt;0,INDEX('İzin Planı'!$F$6:$F$35,23-5)&lt;=('Özet'!$C$6+7*20)+6,INDEX('İzin Planı'!$G$6:$G$35,23-5)&gt;=('Özet'!$C$6+7*20)),AND(N(INDEX('İzin Planı'!$I$6:$I$35,23-5))&gt;0,INDEX('İzin Planı'!$I$6:$I$35,23-5)&lt;=('Özet'!$C$6+7*20)+6,INDEX('İzin Planı'!$J$6:$J$35,23-5)&gt;=('Özet'!$C$6+7*20)),AND(N(INDEX('İzin Planı'!$L$6:$L$35,23-5))&gt;0,INDEX('İzin Planı'!$L$6:$L$35,23-5)&lt;=('Özet'!$C$6+7*20)+6,INDEX('İzin Planı'!$M$6:$M$35,23-5)&gt;=('Özet'!$C$6+7*20))),"İ",""))</f>
      </c>
      <c r="X23" s="13">
        <f>IF(INDEX('İzin Planı'!$C$6:$C$35,23-5)="","",IF(OR(AND(N(INDEX('İzin Planı'!$F$6:$F$35,23-5))&gt;0,INDEX('İzin Planı'!$F$6:$F$35,23-5)&lt;=('Özet'!$C$6+7*21)+6,INDEX('İzin Planı'!$G$6:$G$35,23-5)&gt;=('Özet'!$C$6+7*21)),AND(N(INDEX('İzin Planı'!$I$6:$I$35,23-5))&gt;0,INDEX('İzin Planı'!$I$6:$I$35,23-5)&lt;=('Özet'!$C$6+7*21)+6,INDEX('İzin Planı'!$J$6:$J$35,23-5)&gt;=('Özet'!$C$6+7*21)),AND(N(INDEX('İzin Planı'!$L$6:$L$35,23-5))&gt;0,INDEX('İzin Planı'!$L$6:$L$35,23-5)&lt;=('Özet'!$C$6+7*21)+6,INDEX('İzin Planı'!$M$6:$M$35,23-5)&gt;=('Özet'!$C$6+7*21))),"İ",""))</f>
      </c>
      <c r="Y23" s="13">
        <f>IF(INDEX('İzin Planı'!$C$6:$C$35,23-5)="","",IF(OR(AND(N(INDEX('İzin Planı'!$F$6:$F$35,23-5))&gt;0,INDEX('İzin Planı'!$F$6:$F$35,23-5)&lt;=('Özet'!$C$6+7*22)+6,INDEX('İzin Planı'!$G$6:$G$35,23-5)&gt;=('Özet'!$C$6+7*22)),AND(N(INDEX('İzin Planı'!$I$6:$I$35,23-5))&gt;0,INDEX('İzin Planı'!$I$6:$I$35,23-5)&lt;=('Özet'!$C$6+7*22)+6,INDEX('İzin Planı'!$J$6:$J$35,23-5)&gt;=('Özet'!$C$6+7*22)),AND(N(INDEX('İzin Planı'!$L$6:$L$35,23-5))&gt;0,INDEX('İzin Planı'!$L$6:$L$35,23-5)&lt;=('Özet'!$C$6+7*22)+6,INDEX('İzin Planı'!$M$6:$M$35,23-5)&gt;=('Özet'!$C$6+7*22))),"İ",""))</f>
      </c>
      <c r="Z23" s="13">
        <f>IF(INDEX('İzin Planı'!$C$6:$C$35,23-5)="","",IF(OR(AND(N(INDEX('İzin Planı'!$F$6:$F$35,23-5))&gt;0,INDEX('İzin Planı'!$F$6:$F$35,23-5)&lt;=('Özet'!$C$6+7*23)+6,INDEX('İzin Planı'!$G$6:$G$35,23-5)&gt;=('Özet'!$C$6+7*23)),AND(N(INDEX('İzin Planı'!$I$6:$I$35,23-5))&gt;0,INDEX('İzin Planı'!$I$6:$I$35,23-5)&lt;=('Özet'!$C$6+7*23)+6,INDEX('İzin Planı'!$J$6:$J$35,23-5)&gt;=('Özet'!$C$6+7*23)),AND(N(INDEX('İzin Planı'!$L$6:$L$35,23-5))&gt;0,INDEX('İzin Planı'!$L$6:$L$35,23-5)&lt;=('Özet'!$C$6+7*23)+6,INDEX('İzin Planı'!$M$6:$M$35,23-5)&gt;=('Özet'!$C$6+7*23))),"İ",""))</f>
      </c>
      <c r="AA23" s="13">
        <f>IF(INDEX('İzin Planı'!$C$6:$C$35,23-5)="","",IF(OR(AND(N(INDEX('İzin Planı'!$F$6:$F$35,23-5))&gt;0,INDEX('İzin Planı'!$F$6:$F$35,23-5)&lt;=('Özet'!$C$6+7*24)+6,INDEX('İzin Planı'!$G$6:$G$35,23-5)&gt;=('Özet'!$C$6+7*24)),AND(N(INDEX('İzin Planı'!$I$6:$I$35,23-5))&gt;0,INDEX('İzin Planı'!$I$6:$I$35,23-5)&lt;=('Özet'!$C$6+7*24)+6,INDEX('İzin Planı'!$J$6:$J$35,23-5)&gt;=('Özet'!$C$6+7*24)),AND(N(INDEX('İzin Planı'!$L$6:$L$35,23-5))&gt;0,INDEX('İzin Planı'!$L$6:$L$35,23-5)&lt;=('Özet'!$C$6+7*24)+6,INDEX('İzin Planı'!$M$6:$M$35,23-5)&gt;=('Özet'!$C$6+7*24))),"İ",""))</f>
      </c>
      <c r="AB23" s="13">
        <f>IF(INDEX('İzin Planı'!$C$6:$C$35,23-5)="","",IF(OR(AND(N(INDEX('İzin Planı'!$F$6:$F$35,23-5))&gt;0,INDEX('İzin Planı'!$F$6:$F$35,23-5)&lt;=('Özet'!$C$6+7*25)+6,INDEX('İzin Planı'!$G$6:$G$35,23-5)&gt;=('Özet'!$C$6+7*25)),AND(N(INDEX('İzin Planı'!$I$6:$I$35,23-5))&gt;0,INDEX('İzin Planı'!$I$6:$I$35,23-5)&lt;=('Özet'!$C$6+7*25)+6,INDEX('İzin Planı'!$J$6:$J$35,23-5)&gt;=('Özet'!$C$6+7*25)),AND(N(INDEX('İzin Planı'!$L$6:$L$35,23-5))&gt;0,INDEX('İzin Planı'!$L$6:$L$35,23-5)&lt;=('Özet'!$C$6+7*25)+6,INDEX('İzin Planı'!$M$6:$M$35,23-5)&gt;=('Özet'!$C$6+7*25))),"İ",""))</f>
      </c>
      <c r="AC23" s="13">
        <f>IF(INDEX('İzin Planı'!$C$6:$C$35,23-5)="","",IF(OR(AND(N(INDEX('İzin Planı'!$F$6:$F$35,23-5))&gt;0,INDEX('İzin Planı'!$F$6:$F$35,23-5)&lt;=('Özet'!$C$6+7*26)+6,INDEX('İzin Planı'!$G$6:$G$35,23-5)&gt;=('Özet'!$C$6+7*26)),AND(N(INDEX('İzin Planı'!$I$6:$I$35,23-5))&gt;0,INDEX('İzin Planı'!$I$6:$I$35,23-5)&lt;=('Özet'!$C$6+7*26)+6,INDEX('İzin Planı'!$J$6:$J$35,23-5)&gt;=('Özet'!$C$6+7*26)),AND(N(INDEX('İzin Planı'!$L$6:$L$35,23-5))&gt;0,INDEX('İzin Planı'!$L$6:$L$35,23-5)&lt;=('Özet'!$C$6+7*26)+6,INDEX('İzin Planı'!$M$6:$M$35,23-5)&gt;=('Özet'!$C$6+7*26))),"İ",""))</f>
      </c>
      <c r="AD23" s="13">
        <f>IF(INDEX('İzin Planı'!$C$6:$C$35,23-5)="","",IF(OR(AND(N(INDEX('İzin Planı'!$F$6:$F$35,23-5))&gt;0,INDEX('İzin Planı'!$F$6:$F$35,23-5)&lt;=('Özet'!$C$6+7*27)+6,INDEX('İzin Planı'!$G$6:$G$35,23-5)&gt;=('Özet'!$C$6+7*27)),AND(N(INDEX('İzin Planı'!$I$6:$I$35,23-5))&gt;0,INDEX('İzin Planı'!$I$6:$I$35,23-5)&lt;=('Özet'!$C$6+7*27)+6,INDEX('İzin Planı'!$J$6:$J$35,23-5)&gt;=('Özet'!$C$6+7*27)),AND(N(INDEX('İzin Planı'!$L$6:$L$35,23-5))&gt;0,INDEX('İzin Planı'!$L$6:$L$35,23-5)&lt;=('Özet'!$C$6+7*27)+6,INDEX('İzin Planı'!$M$6:$M$35,23-5)&gt;=('Özet'!$C$6+7*27))),"İ",""))</f>
      </c>
      <c r="AE23" s="13">
        <f>IF(INDEX('İzin Planı'!$C$6:$C$35,23-5)="","",IF(OR(AND(N(INDEX('İzin Planı'!$F$6:$F$35,23-5))&gt;0,INDEX('İzin Planı'!$F$6:$F$35,23-5)&lt;=('Özet'!$C$6+7*28)+6,INDEX('İzin Planı'!$G$6:$G$35,23-5)&gt;=('Özet'!$C$6+7*28)),AND(N(INDEX('İzin Planı'!$I$6:$I$35,23-5))&gt;0,INDEX('İzin Planı'!$I$6:$I$35,23-5)&lt;=('Özet'!$C$6+7*28)+6,INDEX('İzin Planı'!$J$6:$J$35,23-5)&gt;=('Özet'!$C$6+7*28)),AND(N(INDEX('İzin Planı'!$L$6:$L$35,23-5))&gt;0,INDEX('İzin Planı'!$L$6:$L$35,23-5)&lt;=('Özet'!$C$6+7*28)+6,INDEX('İzin Planı'!$M$6:$M$35,23-5)&gt;=('Özet'!$C$6+7*28))),"İ",""))</f>
      </c>
      <c r="AF23" s="13">
        <f>IF(INDEX('İzin Planı'!$C$6:$C$35,23-5)="","",IF(OR(AND(N(INDEX('İzin Planı'!$F$6:$F$35,23-5))&gt;0,INDEX('İzin Planı'!$F$6:$F$35,23-5)&lt;=('Özet'!$C$6+7*29)+6,INDEX('İzin Planı'!$G$6:$G$35,23-5)&gt;=('Özet'!$C$6+7*29)),AND(N(INDEX('İzin Planı'!$I$6:$I$35,23-5))&gt;0,INDEX('İzin Planı'!$I$6:$I$35,23-5)&lt;=('Özet'!$C$6+7*29)+6,INDEX('İzin Planı'!$J$6:$J$35,23-5)&gt;=('Özet'!$C$6+7*29)),AND(N(INDEX('İzin Planı'!$L$6:$L$35,23-5))&gt;0,INDEX('İzin Planı'!$L$6:$L$35,23-5)&lt;=('Özet'!$C$6+7*29)+6,INDEX('İzin Planı'!$M$6:$M$35,23-5)&gt;=('Özet'!$C$6+7*29))),"İ",""))</f>
      </c>
      <c r="AG23" s="13">
        <f>IF(INDEX('İzin Planı'!$C$6:$C$35,23-5)="","",IF(OR(AND(N(INDEX('İzin Planı'!$F$6:$F$35,23-5))&gt;0,INDEX('İzin Planı'!$F$6:$F$35,23-5)&lt;=('Özet'!$C$6+7*30)+6,INDEX('İzin Planı'!$G$6:$G$35,23-5)&gt;=('Özet'!$C$6+7*30)),AND(N(INDEX('İzin Planı'!$I$6:$I$35,23-5))&gt;0,INDEX('İzin Planı'!$I$6:$I$35,23-5)&lt;=('Özet'!$C$6+7*30)+6,INDEX('İzin Planı'!$J$6:$J$35,23-5)&gt;=('Özet'!$C$6+7*30)),AND(N(INDEX('İzin Planı'!$L$6:$L$35,23-5))&gt;0,INDEX('İzin Planı'!$L$6:$L$35,23-5)&lt;=('Özet'!$C$6+7*30)+6,INDEX('İzin Planı'!$M$6:$M$35,23-5)&gt;=('Özet'!$C$6+7*30))),"İ",""))</f>
      </c>
      <c r="AH23" s="13">
        <f>IF(INDEX('İzin Planı'!$C$6:$C$35,23-5)="","",IF(OR(AND(N(INDEX('İzin Planı'!$F$6:$F$35,23-5))&gt;0,INDEX('İzin Planı'!$F$6:$F$35,23-5)&lt;=('Özet'!$C$6+7*31)+6,INDEX('İzin Planı'!$G$6:$G$35,23-5)&gt;=('Özet'!$C$6+7*31)),AND(N(INDEX('İzin Planı'!$I$6:$I$35,23-5))&gt;0,INDEX('İzin Planı'!$I$6:$I$35,23-5)&lt;=('Özet'!$C$6+7*31)+6,INDEX('İzin Planı'!$J$6:$J$35,23-5)&gt;=('Özet'!$C$6+7*31)),AND(N(INDEX('İzin Planı'!$L$6:$L$35,23-5))&gt;0,INDEX('İzin Planı'!$L$6:$L$35,23-5)&lt;=('Özet'!$C$6+7*31)+6,INDEX('İzin Planı'!$M$6:$M$35,23-5)&gt;=('Özet'!$C$6+7*31))),"İ",""))</f>
      </c>
      <c r="AI23" s="13">
        <f>IF(INDEX('İzin Planı'!$C$6:$C$35,23-5)="","",IF(OR(AND(N(INDEX('İzin Planı'!$F$6:$F$35,23-5))&gt;0,INDEX('İzin Planı'!$F$6:$F$35,23-5)&lt;=('Özet'!$C$6+7*32)+6,INDEX('İzin Planı'!$G$6:$G$35,23-5)&gt;=('Özet'!$C$6+7*32)),AND(N(INDEX('İzin Planı'!$I$6:$I$35,23-5))&gt;0,INDEX('İzin Planı'!$I$6:$I$35,23-5)&lt;=('Özet'!$C$6+7*32)+6,INDEX('İzin Planı'!$J$6:$J$35,23-5)&gt;=('Özet'!$C$6+7*32)),AND(N(INDEX('İzin Planı'!$L$6:$L$35,23-5))&gt;0,INDEX('İzin Planı'!$L$6:$L$35,23-5)&lt;=('Özet'!$C$6+7*32)+6,INDEX('İzin Planı'!$M$6:$M$35,23-5)&gt;=('Özet'!$C$6+7*32))),"İ",""))</f>
      </c>
      <c r="AJ23" s="13">
        <f>IF(INDEX('İzin Planı'!$C$6:$C$35,23-5)="","",IF(OR(AND(N(INDEX('İzin Planı'!$F$6:$F$35,23-5))&gt;0,INDEX('İzin Planı'!$F$6:$F$35,23-5)&lt;=('Özet'!$C$6+7*33)+6,INDEX('İzin Planı'!$G$6:$G$35,23-5)&gt;=('Özet'!$C$6+7*33)),AND(N(INDEX('İzin Planı'!$I$6:$I$35,23-5))&gt;0,INDEX('İzin Planı'!$I$6:$I$35,23-5)&lt;=('Özet'!$C$6+7*33)+6,INDEX('İzin Planı'!$J$6:$J$35,23-5)&gt;=('Özet'!$C$6+7*33)),AND(N(INDEX('İzin Planı'!$L$6:$L$35,23-5))&gt;0,INDEX('İzin Planı'!$L$6:$L$35,23-5)&lt;=('Özet'!$C$6+7*33)+6,INDEX('İzin Planı'!$M$6:$M$35,23-5)&gt;=('Özet'!$C$6+7*33))),"İ",""))</f>
      </c>
      <c r="AK23" s="13">
        <f>IF(INDEX('İzin Planı'!$C$6:$C$35,23-5)="","",IF(OR(AND(N(INDEX('İzin Planı'!$F$6:$F$35,23-5))&gt;0,INDEX('İzin Planı'!$F$6:$F$35,23-5)&lt;=('Özet'!$C$6+7*34)+6,INDEX('İzin Planı'!$G$6:$G$35,23-5)&gt;=('Özet'!$C$6+7*34)),AND(N(INDEX('İzin Planı'!$I$6:$I$35,23-5))&gt;0,INDEX('İzin Planı'!$I$6:$I$35,23-5)&lt;=('Özet'!$C$6+7*34)+6,INDEX('İzin Planı'!$J$6:$J$35,23-5)&gt;=('Özet'!$C$6+7*34)),AND(N(INDEX('İzin Planı'!$L$6:$L$35,23-5))&gt;0,INDEX('İzin Planı'!$L$6:$L$35,23-5)&lt;=('Özet'!$C$6+7*34)+6,INDEX('İzin Planı'!$M$6:$M$35,23-5)&gt;=('Özet'!$C$6+7*34))),"İ",""))</f>
      </c>
      <c r="AL23" s="13">
        <f>IF(INDEX('İzin Planı'!$C$6:$C$35,23-5)="","",IF(OR(AND(N(INDEX('İzin Planı'!$F$6:$F$35,23-5))&gt;0,INDEX('İzin Planı'!$F$6:$F$35,23-5)&lt;=('Özet'!$C$6+7*35)+6,INDEX('İzin Planı'!$G$6:$G$35,23-5)&gt;=('Özet'!$C$6+7*35)),AND(N(INDEX('İzin Planı'!$I$6:$I$35,23-5))&gt;0,INDEX('İzin Planı'!$I$6:$I$35,23-5)&lt;=('Özet'!$C$6+7*35)+6,INDEX('İzin Planı'!$J$6:$J$35,23-5)&gt;=('Özet'!$C$6+7*35)),AND(N(INDEX('İzin Planı'!$L$6:$L$35,23-5))&gt;0,INDEX('İzin Planı'!$L$6:$L$35,23-5)&lt;=('Özet'!$C$6+7*35)+6,INDEX('İzin Planı'!$M$6:$M$35,23-5)&gt;=('Özet'!$C$6+7*35))),"İ",""))</f>
      </c>
      <c r="AM23" s="13">
        <f>IF(INDEX('İzin Planı'!$C$6:$C$35,23-5)="","",IF(OR(AND(N(INDEX('İzin Planı'!$F$6:$F$35,23-5))&gt;0,INDEX('İzin Planı'!$F$6:$F$35,23-5)&lt;=('Özet'!$C$6+7*36)+6,INDEX('İzin Planı'!$G$6:$G$35,23-5)&gt;=('Özet'!$C$6+7*36)),AND(N(INDEX('İzin Planı'!$I$6:$I$35,23-5))&gt;0,INDEX('İzin Planı'!$I$6:$I$35,23-5)&lt;=('Özet'!$C$6+7*36)+6,INDEX('İzin Planı'!$J$6:$J$35,23-5)&gt;=('Özet'!$C$6+7*36)),AND(N(INDEX('İzin Planı'!$L$6:$L$35,23-5))&gt;0,INDEX('İzin Planı'!$L$6:$L$35,23-5)&lt;=('Özet'!$C$6+7*36)+6,INDEX('İzin Planı'!$M$6:$M$35,23-5)&gt;=('Özet'!$C$6+7*36))),"İ",""))</f>
      </c>
      <c r="AN23" s="13">
        <f>IF(INDEX('İzin Planı'!$C$6:$C$35,23-5)="","",IF(OR(AND(N(INDEX('İzin Planı'!$F$6:$F$35,23-5))&gt;0,INDEX('İzin Planı'!$F$6:$F$35,23-5)&lt;=('Özet'!$C$6+7*37)+6,INDEX('İzin Planı'!$G$6:$G$35,23-5)&gt;=('Özet'!$C$6+7*37)),AND(N(INDEX('İzin Planı'!$I$6:$I$35,23-5))&gt;0,INDEX('İzin Planı'!$I$6:$I$35,23-5)&lt;=('Özet'!$C$6+7*37)+6,INDEX('İzin Planı'!$J$6:$J$35,23-5)&gt;=('Özet'!$C$6+7*37)),AND(N(INDEX('İzin Planı'!$L$6:$L$35,23-5))&gt;0,INDEX('İzin Planı'!$L$6:$L$35,23-5)&lt;=('Özet'!$C$6+7*37)+6,INDEX('İzin Planı'!$M$6:$M$35,23-5)&gt;=('Özet'!$C$6+7*37))),"İ",""))</f>
      </c>
      <c r="AO23" s="13">
        <f>IF(INDEX('İzin Planı'!$C$6:$C$35,23-5)="","",IF(OR(AND(N(INDEX('İzin Planı'!$F$6:$F$35,23-5))&gt;0,INDEX('İzin Planı'!$F$6:$F$35,23-5)&lt;=('Özet'!$C$6+7*38)+6,INDEX('İzin Planı'!$G$6:$G$35,23-5)&gt;=('Özet'!$C$6+7*38)),AND(N(INDEX('İzin Planı'!$I$6:$I$35,23-5))&gt;0,INDEX('İzin Planı'!$I$6:$I$35,23-5)&lt;=('Özet'!$C$6+7*38)+6,INDEX('İzin Planı'!$J$6:$J$35,23-5)&gt;=('Özet'!$C$6+7*38)),AND(N(INDEX('İzin Planı'!$L$6:$L$35,23-5))&gt;0,INDEX('İzin Planı'!$L$6:$L$35,23-5)&lt;=('Özet'!$C$6+7*38)+6,INDEX('İzin Planı'!$M$6:$M$35,23-5)&gt;=('Özet'!$C$6+7*38))),"İ",""))</f>
      </c>
      <c r="AP23" s="13">
        <f>IF(INDEX('İzin Planı'!$C$6:$C$35,23-5)="","",IF(OR(AND(N(INDEX('İzin Planı'!$F$6:$F$35,23-5))&gt;0,INDEX('İzin Planı'!$F$6:$F$35,23-5)&lt;=('Özet'!$C$6+7*39)+6,INDEX('İzin Planı'!$G$6:$G$35,23-5)&gt;=('Özet'!$C$6+7*39)),AND(N(INDEX('İzin Planı'!$I$6:$I$35,23-5))&gt;0,INDEX('İzin Planı'!$I$6:$I$35,23-5)&lt;=('Özet'!$C$6+7*39)+6,INDEX('İzin Planı'!$J$6:$J$35,23-5)&gt;=('Özet'!$C$6+7*39)),AND(N(INDEX('İzin Planı'!$L$6:$L$35,23-5))&gt;0,INDEX('İzin Planı'!$L$6:$L$35,23-5)&lt;=('Özet'!$C$6+7*39)+6,INDEX('İzin Planı'!$M$6:$M$35,23-5)&gt;=('Özet'!$C$6+7*39))),"İ",""))</f>
      </c>
      <c r="AQ23" s="13">
        <f>IF(INDEX('İzin Planı'!$C$6:$C$35,23-5)="","",IF(OR(AND(N(INDEX('İzin Planı'!$F$6:$F$35,23-5))&gt;0,INDEX('İzin Planı'!$F$6:$F$35,23-5)&lt;=('Özet'!$C$6+7*40)+6,INDEX('İzin Planı'!$G$6:$G$35,23-5)&gt;=('Özet'!$C$6+7*40)),AND(N(INDEX('İzin Planı'!$I$6:$I$35,23-5))&gt;0,INDEX('İzin Planı'!$I$6:$I$35,23-5)&lt;=('Özet'!$C$6+7*40)+6,INDEX('İzin Planı'!$J$6:$J$35,23-5)&gt;=('Özet'!$C$6+7*40)),AND(N(INDEX('İzin Planı'!$L$6:$L$35,23-5))&gt;0,INDEX('İzin Planı'!$L$6:$L$35,23-5)&lt;=('Özet'!$C$6+7*40)+6,INDEX('İzin Planı'!$M$6:$M$35,23-5)&gt;=('Özet'!$C$6+7*40))),"İ",""))</f>
      </c>
      <c r="AR23" s="13">
        <f>IF(INDEX('İzin Planı'!$C$6:$C$35,23-5)="","",IF(OR(AND(N(INDEX('İzin Planı'!$F$6:$F$35,23-5))&gt;0,INDEX('İzin Planı'!$F$6:$F$35,23-5)&lt;=('Özet'!$C$6+7*41)+6,INDEX('İzin Planı'!$G$6:$G$35,23-5)&gt;=('Özet'!$C$6+7*41)),AND(N(INDEX('İzin Planı'!$I$6:$I$35,23-5))&gt;0,INDEX('İzin Planı'!$I$6:$I$35,23-5)&lt;=('Özet'!$C$6+7*41)+6,INDEX('İzin Planı'!$J$6:$J$35,23-5)&gt;=('Özet'!$C$6+7*41)),AND(N(INDEX('İzin Planı'!$L$6:$L$35,23-5))&gt;0,INDEX('İzin Planı'!$L$6:$L$35,23-5)&lt;=('Özet'!$C$6+7*41)+6,INDEX('İzin Planı'!$M$6:$M$35,23-5)&gt;=('Özet'!$C$6+7*41))),"İ",""))</f>
      </c>
      <c r="AS23" s="13">
        <f>IF(INDEX('İzin Planı'!$C$6:$C$35,23-5)="","",IF(OR(AND(N(INDEX('İzin Planı'!$F$6:$F$35,23-5))&gt;0,INDEX('İzin Planı'!$F$6:$F$35,23-5)&lt;=('Özet'!$C$6+7*42)+6,INDEX('İzin Planı'!$G$6:$G$35,23-5)&gt;=('Özet'!$C$6+7*42)),AND(N(INDEX('İzin Planı'!$I$6:$I$35,23-5))&gt;0,INDEX('İzin Planı'!$I$6:$I$35,23-5)&lt;=('Özet'!$C$6+7*42)+6,INDEX('İzin Planı'!$J$6:$J$35,23-5)&gt;=('Özet'!$C$6+7*42)),AND(N(INDEX('İzin Planı'!$L$6:$L$35,23-5))&gt;0,INDEX('İzin Planı'!$L$6:$L$35,23-5)&lt;=('Özet'!$C$6+7*42)+6,INDEX('İzin Planı'!$M$6:$M$35,23-5)&gt;=('Özet'!$C$6+7*42))),"İ",""))</f>
      </c>
      <c r="AT23" s="13">
        <f>IF(INDEX('İzin Planı'!$C$6:$C$35,23-5)="","",IF(OR(AND(N(INDEX('İzin Planı'!$F$6:$F$35,23-5))&gt;0,INDEX('İzin Planı'!$F$6:$F$35,23-5)&lt;=('Özet'!$C$6+7*43)+6,INDEX('İzin Planı'!$G$6:$G$35,23-5)&gt;=('Özet'!$C$6+7*43)),AND(N(INDEX('İzin Planı'!$I$6:$I$35,23-5))&gt;0,INDEX('İzin Planı'!$I$6:$I$35,23-5)&lt;=('Özet'!$C$6+7*43)+6,INDEX('İzin Planı'!$J$6:$J$35,23-5)&gt;=('Özet'!$C$6+7*43)),AND(N(INDEX('İzin Planı'!$L$6:$L$35,23-5))&gt;0,INDEX('İzin Planı'!$L$6:$L$35,23-5)&lt;=('Özet'!$C$6+7*43)+6,INDEX('İzin Planı'!$M$6:$M$35,23-5)&gt;=('Özet'!$C$6+7*43))),"İ",""))</f>
      </c>
      <c r="AU23" s="13">
        <f>IF(INDEX('İzin Planı'!$C$6:$C$35,23-5)="","",IF(OR(AND(N(INDEX('İzin Planı'!$F$6:$F$35,23-5))&gt;0,INDEX('İzin Planı'!$F$6:$F$35,23-5)&lt;=('Özet'!$C$6+7*44)+6,INDEX('İzin Planı'!$G$6:$G$35,23-5)&gt;=('Özet'!$C$6+7*44)),AND(N(INDEX('İzin Planı'!$I$6:$I$35,23-5))&gt;0,INDEX('İzin Planı'!$I$6:$I$35,23-5)&lt;=('Özet'!$C$6+7*44)+6,INDEX('İzin Planı'!$J$6:$J$35,23-5)&gt;=('Özet'!$C$6+7*44)),AND(N(INDEX('İzin Planı'!$L$6:$L$35,23-5))&gt;0,INDEX('İzin Planı'!$L$6:$L$35,23-5)&lt;=('Özet'!$C$6+7*44)+6,INDEX('İzin Planı'!$M$6:$M$35,23-5)&gt;=('Özet'!$C$6+7*44))),"İ",""))</f>
      </c>
      <c r="AV23" s="13">
        <f>IF(INDEX('İzin Planı'!$C$6:$C$35,23-5)="","",IF(OR(AND(N(INDEX('İzin Planı'!$F$6:$F$35,23-5))&gt;0,INDEX('İzin Planı'!$F$6:$F$35,23-5)&lt;=('Özet'!$C$6+7*45)+6,INDEX('İzin Planı'!$G$6:$G$35,23-5)&gt;=('Özet'!$C$6+7*45)),AND(N(INDEX('İzin Planı'!$I$6:$I$35,23-5))&gt;0,INDEX('İzin Planı'!$I$6:$I$35,23-5)&lt;=('Özet'!$C$6+7*45)+6,INDEX('İzin Planı'!$J$6:$J$35,23-5)&gt;=('Özet'!$C$6+7*45)),AND(N(INDEX('İzin Planı'!$L$6:$L$35,23-5))&gt;0,INDEX('İzin Planı'!$L$6:$L$35,23-5)&lt;=('Özet'!$C$6+7*45)+6,INDEX('İzin Planı'!$M$6:$M$35,23-5)&gt;=('Özet'!$C$6+7*45))),"İ",""))</f>
      </c>
      <c r="AW23" s="13">
        <f>IF(INDEX('İzin Planı'!$C$6:$C$35,23-5)="","",IF(OR(AND(N(INDEX('İzin Planı'!$F$6:$F$35,23-5))&gt;0,INDEX('İzin Planı'!$F$6:$F$35,23-5)&lt;=('Özet'!$C$6+7*46)+6,INDEX('İzin Planı'!$G$6:$G$35,23-5)&gt;=('Özet'!$C$6+7*46)),AND(N(INDEX('İzin Planı'!$I$6:$I$35,23-5))&gt;0,INDEX('İzin Planı'!$I$6:$I$35,23-5)&lt;=('Özet'!$C$6+7*46)+6,INDEX('İzin Planı'!$J$6:$J$35,23-5)&gt;=('Özet'!$C$6+7*46)),AND(N(INDEX('İzin Planı'!$L$6:$L$35,23-5))&gt;0,INDEX('İzin Planı'!$L$6:$L$35,23-5)&lt;=('Özet'!$C$6+7*46)+6,INDEX('İzin Planı'!$M$6:$M$35,23-5)&gt;=('Özet'!$C$6+7*46))),"İ",""))</f>
      </c>
      <c r="AX23" s="13">
        <f>IF(INDEX('İzin Planı'!$C$6:$C$35,23-5)="","",IF(OR(AND(N(INDEX('İzin Planı'!$F$6:$F$35,23-5))&gt;0,INDEX('İzin Planı'!$F$6:$F$35,23-5)&lt;=('Özet'!$C$6+7*47)+6,INDEX('İzin Planı'!$G$6:$G$35,23-5)&gt;=('Özet'!$C$6+7*47)),AND(N(INDEX('İzin Planı'!$I$6:$I$35,23-5))&gt;0,INDEX('İzin Planı'!$I$6:$I$35,23-5)&lt;=('Özet'!$C$6+7*47)+6,INDEX('İzin Planı'!$J$6:$J$35,23-5)&gt;=('Özet'!$C$6+7*47)),AND(N(INDEX('İzin Planı'!$L$6:$L$35,23-5))&gt;0,INDEX('İzin Planı'!$L$6:$L$35,23-5)&lt;=('Özet'!$C$6+7*47)+6,INDEX('İzin Planı'!$M$6:$M$35,23-5)&gt;=('Özet'!$C$6+7*47))),"İ",""))</f>
      </c>
      <c r="AY23" s="13">
        <f>IF(INDEX('İzin Planı'!$C$6:$C$35,23-5)="","",IF(OR(AND(N(INDEX('İzin Planı'!$F$6:$F$35,23-5))&gt;0,INDEX('İzin Planı'!$F$6:$F$35,23-5)&lt;=('Özet'!$C$6+7*48)+6,INDEX('İzin Planı'!$G$6:$G$35,23-5)&gt;=('Özet'!$C$6+7*48)),AND(N(INDEX('İzin Planı'!$I$6:$I$35,23-5))&gt;0,INDEX('İzin Planı'!$I$6:$I$35,23-5)&lt;=('Özet'!$C$6+7*48)+6,INDEX('İzin Planı'!$J$6:$J$35,23-5)&gt;=('Özet'!$C$6+7*48)),AND(N(INDEX('İzin Planı'!$L$6:$L$35,23-5))&gt;0,INDEX('İzin Planı'!$L$6:$L$35,23-5)&lt;=('Özet'!$C$6+7*48)+6,INDEX('İzin Planı'!$M$6:$M$35,23-5)&gt;=('Özet'!$C$6+7*48))),"İ",""))</f>
      </c>
      <c r="AZ23" s="13">
        <f>IF(INDEX('İzin Planı'!$C$6:$C$35,23-5)="","",IF(OR(AND(N(INDEX('İzin Planı'!$F$6:$F$35,23-5))&gt;0,INDEX('İzin Planı'!$F$6:$F$35,23-5)&lt;=('Özet'!$C$6+7*49)+6,INDEX('İzin Planı'!$G$6:$G$35,23-5)&gt;=('Özet'!$C$6+7*49)),AND(N(INDEX('İzin Planı'!$I$6:$I$35,23-5))&gt;0,INDEX('İzin Planı'!$I$6:$I$35,23-5)&lt;=('Özet'!$C$6+7*49)+6,INDEX('İzin Planı'!$J$6:$J$35,23-5)&gt;=('Özet'!$C$6+7*49)),AND(N(INDEX('İzin Planı'!$L$6:$L$35,23-5))&gt;0,INDEX('İzin Planı'!$L$6:$L$35,23-5)&lt;=('Özet'!$C$6+7*49)+6,INDEX('İzin Planı'!$M$6:$M$35,23-5)&gt;=('Özet'!$C$6+7*49))),"İ",""))</f>
      </c>
      <c r="BA23" s="13">
        <f>IF(INDEX('İzin Planı'!$C$6:$C$35,23-5)="","",IF(OR(AND(N(INDEX('İzin Planı'!$F$6:$F$35,23-5))&gt;0,INDEX('İzin Planı'!$F$6:$F$35,23-5)&lt;=('Özet'!$C$6+7*50)+6,INDEX('İzin Planı'!$G$6:$G$35,23-5)&gt;=('Özet'!$C$6+7*50)),AND(N(INDEX('İzin Planı'!$I$6:$I$35,23-5))&gt;0,INDEX('İzin Planı'!$I$6:$I$35,23-5)&lt;=('Özet'!$C$6+7*50)+6,INDEX('İzin Planı'!$J$6:$J$35,23-5)&gt;=('Özet'!$C$6+7*50)),AND(N(INDEX('İzin Planı'!$L$6:$L$35,23-5))&gt;0,INDEX('İzin Planı'!$L$6:$L$35,23-5)&lt;=('Özet'!$C$6+7*50)+6,INDEX('İzin Planı'!$M$6:$M$35,23-5)&gt;=('Özet'!$C$6+7*50))),"İ",""))</f>
      </c>
      <c r="BB23" s="13">
        <f>IF(INDEX('İzin Planı'!$C$6:$C$35,23-5)="","",IF(OR(AND(N(INDEX('İzin Planı'!$F$6:$F$35,23-5))&gt;0,INDEX('İzin Planı'!$F$6:$F$35,23-5)&lt;=('Özet'!$C$6+7*51)+6,INDEX('İzin Planı'!$G$6:$G$35,23-5)&gt;=('Özet'!$C$6+7*51)),AND(N(INDEX('İzin Planı'!$I$6:$I$35,23-5))&gt;0,INDEX('İzin Planı'!$I$6:$I$35,23-5)&lt;=('Özet'!$C$6+7*51)+6,INDEX('İzin Planı'!$J$6:$J$35,23-5)&gt;=('Özet'!$C$6+7*51)),AND(N(INDEX('İzin Planı'!$L$6:$L$35,23-5))&gt;0,INDEX('İzin Planı'!$L$6:$L$35,23-5)&lt;=('Özet'!$C$6+7*51)+6,INDEX('İzin Planı'!$M$6:$M$35,23-5)&gt;=('Özet'!$C$6+7*51))),"İ",""))</f>
      </c>
      <c r="BC23" s="13">
        <f>IF(INDEX('İzin Planı'!$C$6:$C$35,23-5)="","",IF(OR(AND(N(INDEX('İzin Planı'!$F$6:$F$35,23-5))&gt;0,INDEX('İzin Planı'!$F$6:$F$35,23-5)&lt;=('Özet'!$C$6+7*52)+6,INDEX('İzin Planı'!$G$6:$G$35,23-5)&gt;=('Özet'!$C$6+7*52)),AND(N(INDEX('İzin Planı'!$I$6:$I$35,23-5))&gt;0,INDEX('İzin Planı'!$I$6:$I$35,23-5)&lt;=('Özet'!$C$6+7*52)+6,INDEX('İzin Planı'!$J$6:$J$35,23-5)&gt;=('Özet'!$C$6+7*52)),AND(N(INDEX('İzin Planı'!$L$6:$L$35,23-5))&gt;0,INDEX('İzin Planı'!$L$6:$L$35,23-5)&lt;=('Özet'!$C$6+7*52)+6,INDEX('İzin Planı'!$M$6:$M$35,23-5)&gt;=('Özet'!$C$6+7*52))),"İ",""))</f>
      </c>
    </row>
    <row r="24" ht="18" customHeight="1" spans="1:55" x14ac:dyDescent="0.25">
      <c r="A24" s="6">
        <v>19</v>
      </c>
      <c r="B24" s="13">
        <f>IF(INDEX('İzin Planı'!$C$6:$C$35,24-5)="","",INDEX('İzin Planı'!$C$6:$C$35,24-5))</f>
      </c>
      <c r="C24" s="13">
        <f>IF(INDEX('İzin Planı'!$C$6:$C$35,24-5)="","",IF(OR(AND(N(INDEX('İzin Planı'!$F$6:$F$35,24-5))&gt;0,INDEX('İzin Planı'!$F$6:$F$35,24-5)&lt;=('Özet'!$C$6+7*0)+6,INDEX('İzin Planı'!$G$6:$G$35,24-5)&gt;=('Özet'!$C$6+7*0)),AND(N(INDEX('İzin Planı'!$I$6:$I$35,24-5))&gt;0,INDEX('İzin Planı'!$I$6:$I$35,24-5)&lt;=('Özet'!$C$6+7*0)+6,INDEX('İzin Planı'!$J$6:$J$35,24-5)&gt;=('Özet'!$C$6+7*0)),AND(N(INDEX('İzin Planı'!$L$6:$L$35,24-5))&gt;0,INDEX('İzin Planı'!$L$6:$L$35,24-5)&lt;=('Özet'!$C$6+7*0)+6,INDEX('İzin Planı'!$M$6:$M$35,24-5)&gt;=('Özet'!$C$6+7*0))),"İ",""))</f>
      </c>
      <c r="D24" s="13">
        <f>IF(INDEX('İzin Planı'!$C$6:$C$35,24-5)="","",IF(OR(AND(N(INDEX('İzin Planı'!$F$6:$F$35,24-5))&gt;0,INDEX('İzin Planı'!$F$6:$F$35,24-5)&lt;=('Özet'!$C$6+7*1)+6,INDEX('İzin Planı'!$G$6:$G$35,24-5)&gt;=('Özet'!$C$6+7*1)),AND(N(INDEX('İzin Planı'!$I$6:$I$35,24-5))&gt;0,INDEX('İzin Planı'!$I$6:$I$35,24-5)&lt;=('Özet'!$C$6+7*1)+6,INDEX('İzin Planı'!$J$6:$J$35,24-5)&gt;=('Özet'!$C$6+7*1)),AND(N(INDEX('İzin Planı'!$L$6:$L$35,24-5))&gt;0,INDEX('İzin Planı'!$L$6:$L$35,24-5)&lt;=('Özet'!$C$6+7*1)+6,INDEX('İzin Planı'!$M$6:$M$35,24-5)&gt;=('Özet'!$C$6+7*1))),"İ",""))</f>
      </c>
      <c r="E24" s="13">
        <f>IF(INDEX('İzin Planı'!$C$6:$C$35,24-5)="","",IF(OR(AND(N(INDEX('İzin Planı'!$F$6:$F$35,24-5))&gt;0,INDEX('İzin Planı'!$F$6:$F$35,24-5)&lt;=('Özet'!$C$6+7*2)+6,INDEX('İzin Planı'!$G$6:$G$35,24-5)&gt;=('Özet'!$C$6+7*2)),AND(N(INDEX('İzin Planı'!$I$6:$I$35,24-5))&gt;0,INDEX('İzin Planı'!$I$6:$I$35,24-5)&lt;=('Özet'!$C$6+7*2)+6,INDEX('İzin Planı'!$J$6:$J$35,24-5)&gt;=('Özet'!$C$6+7*2)),AND(N(INDEX('İzin Planı'!$L$6:$L$35,24-5))&gt;0,INDEX('İzin Planı'!$L$6:$L$35,24-5)&lt;=('Özet'!$C$6+7*2)+6,INDEX('İzin Planı'!$M$6:$M$35,24-5)&gt;=('Özet'!$C$6+7*2))),"İ",""))</f>
      </c>
      <c r="F24" s="13">
        <f>IF(INDEX('İzin Planı'!$C$6:$C$35,24-5)="","",IF(OR(AND(N(INDEX('İzin Planı'!$F$6:$F$35,24-5))&gt;0,INDEX('İzin Planı'!$F$6:$F$35,24-5)&lt;=('Özet'!$C$6+7*3)+6,INDEX('İzin Planı'!$G$6:$G$35,24-5)&gt;=('Özet'!$C$6+7*3)),AND(N(INDEX('İzin Planı'!$I$6:$I$35,24-5))&gt;0,INDEX('İzin Planı'!$I$6:$I$35,24-5)&lt;=('Özet'!$C$6+7*3)+6,INDEX('İzin Planı'!$J$6:$J$35,24-5)&gt;=('Özet'!$C$6+7*3)),AND(N(INDEX('İzin Planı'!$L$6:$L$35,24-5))&gt;0,INDEX('İzin Planı'!$L$6:$L$35,24-5)&lt;=('Özet'!$C$6+7*3)+6,INDEX('İzin Planı'!$M$6:$M$35,24-5)&gt;=('Özet'!$C$6+7*3))),"İ",""))</f>
      </c>
      <c r="G24" s="13">
        <f>IF(INDEX('İzin Planı'!$C$6:$C$35,24-5)="","",IF(OR(AND(N(INDEX('İzin Planı'!$F$6:$F$35,24-5))&gt;0,INDEX('İzin Planı'!$F$6:$F$35,24-5)&lt;=('Özet'!$C$6+7*4)+6,INDEX('İzin Planı'!$G$6:$G$35,24-5)&gt;=('Özet'!$C$6+7*4)),AND(N(INDEX('İzin Planı'!$I$6:$I$35,24-5))&gt;0,INDEX('İzin Planı'!$I$6:$I$35,24-5)&lt;=('Özet'!$C$6+7*4)+6,INDEX('İzin Planı'!$J$6:$J$35,24-5)&gt;=('Özet'!$C$6+7*4)),AND(N(INDEX('İzin Planı'!$L$6:$L$35,24-5))&gt;0,INDEX('İzin Planı'!$L$6:$L$35,24-5)&lt;=('Özet'!$C$6+7*4)+6,INDEX('İzin Planı'!$M$6:$M$35,24-5)&gt;=('Özet'!$C$6+7*4))),"İ",""))</f>
      </c>
      <c r="H24" s="13">
        <f>IF(INDEX('İzin Planı'!$C$6:$C$35,24-5)="","",IF(OR(AND(N(INDEX('İzin Planı'!$F$6:$F$35,24-5))&gt;0,INDEX('İzin Planı'!$F$6:$F$35,24-5)&lt;=('Özet'!$C$6+7*5)+6,INDEX('İzin Planı'!$G$6:$G$35,24-5)&gt;=('Özet'!$C$6+7*5)),AND(N(INDEX('İzin Planı'!$I$6:$I$35,24-5))&gt;0,INDEX('İzin Planı'!$I$6:$I$35,24-5)&lt;=('Özet'!$C$6+7*5)+6,INDEX('İzin Planı'!$J$6:$J$35,24-5)&gt;=('Özet'!$C$6+7*5)),AND(N(INDEX('İzin Planı'!$L$6:$L$35,24-5))&gt;0,INDEX('İzin Planı'!$L$6:$L$35,24-5)&lt;=('Özet'!$C$6+7*5)+6,INDEX('İzin Planı'!$M$6:$M$35,24-5)&gt;=('Özet'!$C$6+7*5))),"İ",""))</f>
      </c>
      <c r="I24" s="13">
        <f>IF(INDEX('İzin Planı'!$C$6:$C$35,24-5)="","",IF(OR(AND(N(INDEX('İzin Planı'!$F$6:$F$35,24-5))&gt;0,INDEX('İzin Planı'!$F$6:$F$35,24-5)&lt;=('Özet'!$C$6+7*6)+6,INDEX('İzin Planı'!$G$6:$G$35,24-5)&gt;=('Özet'!$C$6+7*6)),AND(N(INDEX('İzin Planı'!$I$6:$I$35,24-5))&gt;0,INDEX('İzin Planı'!$I$6:$I$35,24-5)&lt;=('Özet'!$C$6+7*6)+6,INDEX('İzin Planı'!$J$6:$J$35,24-5)&gt;=('Özet'!$C$6+7*6)),AND(N(INDEX('İzin Planı'!$L$6:$L$35,24-5))&gt;0,INDEX('İzin Planı'!$L$6:$L$35,24-5)&lt;=('Özet'!$C$6+7*6)+6,INDEX('İzin Planı'!$M$6:$M$35,24-5)&gt;=('Özet'!$C$6+7*6))),"İ",""))</f>
      </c>
      <c r="J24" s="13">
        <f>IF(INDEX('İzin Planı'!$C$6:$C$35,24-5)="","",IF(OR(AND(N(INDEX('İzin Planı'!$F$6:$F$35,24-5))&gt;0,INDEX('İzin Planı'!$F$6:$F$35,24-5)&lt;=('Özet'!$C$6+7*7)+6,INDEX('İzin Planı'!$G$6:$G$35,24-5)&gt;=('Özet'!$C$6+7*7)),AND(N(INDEX('İzin Planı'!$I$6:$I$35,24-5))&gt;0,INDEX('İzin Planı'!$I$6:$I$35,24-5)&lt;=('Özet'!$C$6+7*7)+6,INDEX('İzin Planı'!$J$6:$J$35,24-5)&gt;=('Özet'!$C$6+7*7)),AND(N(INDEX('İzin Planı'!$L$6:$L$35,24-5))&gt;0,INDEX('İzin Planı'!$L$6:$L$35,24-5)&lt;=('Özet'!$C$6+7*7)+6,INDEX('İzin Planı'!$M$6:$M$35,24-5)&gt;=('Özet'!$C$6+7*7))),"İ",""))</f>
      </c>
      <c r="K24" s="13">
        <f>IF(INDEX('İzin Planı'!$C$6:$C$35,24-5)="","",IF(OR(AND(N(INDEX('İzin Planı'!$F$6:$F$35,24-5))&gt;0,INDEX('İzin Planı'!$F$6:$F$35,24-5)&lt;=('Özet'!$C$6+7*8)+6,INDEX('İzin Planı'!$G$6:$G$35,24-5)&gt;=('Özet'!$C$6+7*8)),AND(N(INDEX('İzin Planı'!$I$6:$I$35,24-5))&gt;0,INDEX('İzin Planı'!$I$6:$I$35,24-5)&lt;=('Özet'!$C$6+7*8)+6,INDEX('İzin Planı'!$J$6:$J$35,24-5)&gt;=('Özet'!$C$6+7*8)),AND(N(INDEX('İzin Planı'!$L$6:$L$35,24-5))&gt;0,INDEX('İzin Planı'!$L$6:$L$35,24-5)&lt;=('Özet'!$C$6+7*8)+6,INDEX('İzin Planı'!$M$6:$M$35,24-5)&gt;=('Özet'!$C$6+7*8))),"İ",""))</f>
      </c>
      <c r="L24" s="13">
        <f>IF(INDEX('İzin Planı'!$C$6:$C$35,24-5)="","",IF(OR(AND(N(INDEX('İzin Planı'!$F$6:$F$35,24-5))&gt;0,INDEX('İzin Planı'!$F$6:$F$35,24-5)&lt;=('Özet'!$C$6+7*9)+6,INDEX('İzin Planı'!$G$6:$G$35,24-5)&gt;=('Özet'!$C$6+7*9)),AND(N(INDEX('İzin Planı'!$I$6:$I$35,24-5))&gt;0,INDEX('İzin Planı'!$I$6:$I$35,24-5)&lt;=('Özet'!$C$6+7*9)+6,INDEX('İzin Planı'!$J$6:$J$35,24-5)&gt;=('Özet'!$C$6+7*9)),AND(N(INDEX('İzin Planı'!$L$6:$L$35,24-5))&gt;0,INDEX('İzin Planı'!$L$6:$L$35,24-5)&lt;=('Özet'!$C$6+7*9)+6,INDEX('İzin Planı'!$M$6:$M$35,24-5)&gt;=('Özet'!$C$6+7*9))),"İ",""))</f>
      </c>
      <c r="M24" s="13">
        <f>IF(INDEX('İzin Planı'!$C$6:$C$35,24-5)="","",IF(OR(AND(N(INDEX('İzin Planı'!$F$6:$F$35,24-5))&gt;0,INDEX('İzin Planı'!$F$6:$F$35,24-5)&lt;=('Özet'!$C$6+7*10)+6,INDEX('İzin Planı'!$G$6:$G$35,24-5)&gt;=('Özet'!$C$6+7*10)),AND(N(INDEX('İzin Planı'!$I$6:$I$35,24-5))&gt;0,INDEX('İzin Planı'!$I$6:$I$35,24-5)&lt;=('Özet'!$C$6+7*10)+6,INDEX('İzin Planı'!$J$6:$J$35,24-5)&gt;=('Özet'!$C$6+7*10)),AND(N(INDEX('İzin Planı'!$L$6:$L$35,24-5))&gt;0,INDEX('İzin Planı'!$L$6:$L$35,24-5)&lt;=('Özet'!$C$6+7*10)+6,INDEX('İzin Planı'!$M$6:$M$35,24-5)&gt;=('Özet'!$C$6+7*10))),"İ",""))</f>
      </c>
      <c r="N24" s="13">
        <f>IF(INDEX('İzin Planı'!$C$6:$C$35,24-5)="","",IF(OR(AND(N(INDEX('İzin Planı'!$F$6:$F$35,24-5))&gt;0,INDEX('İzin Planı'!$F$6:$F$35,24-5)&lt;=('Özet'!$C$6+7*11)+6,INDEX('İzin Planı'!$G$6:$G$35,24-5)&gt;=('Özet'!$C$6+7*11)),AND(N(INDEX('İzin Planı'!$I$6:$I$35,24-5))&gt;0,INDEX('İzin Planı'!$I$6:$I$35,24-5)&lt;=('Özet'!$C$6+7*11)+6,INDEX('İzin Planı'!$J$6:$J$35,24-5)&gt;=('Özet'!$C$6+7*11)),AND(N(INDEX('İzin Planı'!$L$6:$L$35,24-5))&gt;0,INDEX('İzin Planı'!$L$6:$L$35,24-5)&lt;=('Özet'!$C$6+7*11)+6,INDEX('İzin Planı'!$M$6:$M$35,24-5)&gt;=('Özet'!$C$6+7*11))),"İ",""))</f>
      </c>
      <c r="O24" s="13">
        <f>IF(INDEX('İzin Planı'!$C$6:$C$35,24-5)="","",IF(OR(AND(N(INDEX('İzin Planı'!$F$6:$F$35,24-5))&gt;0,INDEX('İzin Planı'!$F$6:$F$35,24-5)&lt;=('Özet'!$C$6+7*12)+6,INDEX('İzin Planı'!$G$6:$G$35,24-5)&gt;=('Özet'!$C$6+7*12)),AND(N(INDEX('İzin Planı'!$I$6:$I$35,24-5))&gt;0,INDEX('İzin Planı'!$I$6:$I$35,24-5)&lt;=('Özet'!$C$6+7*12)+6,INDEX('İzin Planı'!$J$6:$J$35,24-5)&gt;=('Özet'!$C$6+7*12)),AND(N(INDEX('İzin Planı'!$L$6:$L$35,24-5))&gt;0,INDEX('İzin Planı'!$L$6:$L$35,24-5)&lt;=('Özet'!$C$6+7*12)+6,INDEX('İzin Planı'!$M$6:$M$35,24-5)&gt;=('Özet'!$C$6+7*12))),"İ",""))</f>
      </c>
      <c r="P24" s="13">
        <f>IF(INDEX('İzin Planı'!$C$6:$C$35,24-5)="","",IF(OR(AND(N(INDEX('İzin Planı'!$F$6:$F$35,24-5))&gt;0,INDEX('İzin Planı'!$F$6:$F$35,24-5)&lt;=('Özet'!$C$6+7*13)+6,INDEX('İzin Planı'!$G$6:$G$35,24-5)&gt;=('Özet'!$C$6+7*13)),AND(N(INDEX('İzin Planı'!$I$6:$I$35,24-5))&gt;0,INDEX('İzin Planı'!$I$6:$I$35,24-5)&lt;=('Özet'!$C$6+7*13)+6,INDEX('İzin Planı'!$J$6:$J$35,24-5)&gt;=('Özet'!$C$6+7*13)),AND(N(INDEX('İzin Planı'!$L$6:$L$35,24-5))&gt;0,INDEX('İzin Planı'!$L$6:$L$35,24-5)&lt;=('Özet'!$C$6+7*13)+6,INDEX('İzin Planı'!$M$6:$M$35,24-5)&gt;=('Özet'!$C$6+7*13))),"İ",""))</f>
      </c>
      <c r="Q24" s="13">
        <f>IF(INDEX('İzin Planı'!$C$6:$C$35,24-5)="","",IF(OR(AND(N(INDEX('İzin Planı'!$F$6:$F$35,24-5))&gt;0,INDEX('İzin Planı'!$F$6:$F$35,24-5)&lt;=('Özet'!$C$6+7*14)+6,INDEX('İzin Planı'!$G$6:$G$35,24-5)&gt;=('Özet'!$C$6+7*14)),AND(N(INDEX('İzin Planı'!$I$6:$I$35,24-5))&gt;0,INDEX('İzin Planı'!$I$6:$I$35,24-5)&lt;=('Özet'!$C$6+7*14)+6,INDEX('İzin Planı'!$J$6:$J$35,24-5)&gt;=('Özet'!$C$6+7*14)),AND(N(INDEX('İzin Planı'!$L$6:$L$35,24-5))&gt;0,INDEX('İzin Planı'!$L$6:$L$35,24-5)&lt;=('Özet'!$C$6+7*14)+6,INDEX('İzin Planı'!$M$6:$M$35,24-5)&gt;=('Özet'!$C$6+7*14))),"İ",""))</f>
      </c>
      <c r="R24" s="13">
        <f>IF(INDEX('İzin Planı'!$C$6:$C$35,24-5)="","",IF(OR(AND(N(INDEX('İzin Planı'!$F$6:$F$35,24-5))&gt;0,INDEX('İzin Planı'!$F$6:$F$35,24-5)&lt;=('Özet'!$C$6+7*15)+6,INDEX('İzin Planı'!$G$6:$G$35,24-5)&gt;=('Özet'!$C$6+7*15)),AND(N(INDEX('İzin Planı'!$I$6:$I$35,24-5))&gt;0,INDEX('İzin Planı'!$I$6:$I$35,24-5)&lt;=('Özet'!$C$6+7*15)+6,INDEX('İzin Planı'!$J$6:$J$35,24-5)&gt;=('Özet'!$C$6+7*15)),AND(N(INDEX('İzin Planı'!$L$6:$L$35,24-5))&gt;0,INDEX('İzin Planı'!$L$6:$L$35,24-5)&lt;=('Özet'!$C$6+7*15)+6,INDEX('İzin Planı'!$M$6:$M$35,24-5)&gt;=('Özet'!$C$6+7*15))),"İ",""))</f>
      </c>
      <c r="S24" s="13">
        <f>IF(INDEX('İzin Planı'!$C$6:$C$35,24-5)="","",IF(OR(AND(N(INDEX('İzin Planı'!$F$6:$F$35,24-5))&gt;0,INDEX('İzin Planı'!$F$6:$F$35,24-5)&lt;=('Özet'!$C$6+7*16)+6,INDEX('İzin Planı'!$G$6:$G$35,24-5)&gt;=('Özet'!$C$6+7*16)),AND(N(INDEX('İzin Planı'!$I$6:$I$35,24-5))&gt;0,INDEX('İzin Planı'!$I$6:$I$35,24-5)&lt;=('Özet'!$C$6+7*16)+6,INDEX('İzin Planı'!$J$6:$J$35,24-5)&gt;=('Özet'!$C$6+7*16)),AND(N(INDEX('İzin Planı'!$L$6:$L$35,24-5))&gt;0,INDEX('İzin Planı'!$L$6:$L$35,24-5)&lt;=('Özet'!$C$6+7*16)+6,INDEX('İzin Planı'!$M$6:$M$35,24-5)&gt;=('Özet'!$C$6+7*16))),"İ",""))</f>
      </c>
      <c r="T24" s="13">
        <f>IF(INDEX('İzin Planı'!$C$6:$C$35,24-5)="","",IF(OR(AND(N(INDEX('İzin Planı'!$F$6:$F$35,24-5))&gt;0,INDEX('İzin Planı'!$F$6:$F$35,24-5)&lt;=('Özet'!$C$6+7*17)+6,INDEX('İzin Planı'!$G$6:$G$35,24-5)&gt;=('Özet'!$C$6+7*17)),AND(N(INDEX('İzin Planı'!$I$6:$I$35,24-5))&gt;0,INDEX('İzin Planı'!$I$6:$I$35,24-5)&lt;=('Özet'!$C$6+7*17)+6,INDEX('İzin Planı'!$J$6:$J$35,24-5)&gt;=('Özet'!$C$6+7*17)),AND(N(INDEX('İzin Planı'!$L$6:$L$35,24-5))&gt;0,INDEX('İzin Planı'!$L$6:$L$35,24-5)&lt;=('Özet'!$C$6+7*17)+6,INDEX('İzin Planı'!$M$6:$M$35,24-5)&gt;=('Özet'!$C$6+7*17))),"İ",""))</f>
      </c>
      <c r="U24" s="13">
        <f>IF(INDEX('İzin Planı'!$C$6:$C$35,24-5)="","",IF(OR(AND(N(INDEX('İzin Planı'!$F$6:$F$35,24-5))&gt;0,INDEX('İzin Planı'!$F$6:$F$35,24-5)&lt;=('Özet'!$C$6+7*18)+6,INDEX('İzin Planı'!$G$6:$G$35,24-5)&gt;=('Özet'!$C$6+7*18)),AND(N(INDEX('İzin Planı'!$I$6:$I$35,24-5))&gt;0,INDEX('İzin Planı'!$I$6:$I$35,24-5)&lt;=('Özet'!$C$6+7*18)+6,INDEX('İzin Planı'!$J$6:$J$35,24-5)&gt;=('Özet'!$C$6+7*18)),AND(N(INDEX('İzin Planı'!$L$6:$L$35,24-5))&gt;0,INDEX('İzin Planı'!$L$6:$L$35,24-5)&lt;=('Özet'!$C$6+7*18)+6,INDEX('İzin Planı'!$M$6:$M$35,24-5)&gt;=('Özet'!$C$6+7*18))),"İ",""))</f>
      </c>
      <c r="V24" s="13">
        <f>IF(INDEX('İzin Planı'!$C$6:$C$35,24-5)="","",IF(OR(AND(N(INDEX('İzin Planı'!$F$6:$F$35,24-5))&gt;0,INDEX('İzin Planı'!$F$6:$F$35,24-5)&lt;=('Özet'!$C$6+7*19)+6,INDEX('İzin Planı'!$G$6:$G$35,24-5)&gt;=('Özet'!$C$6+7*19)),AND(N(INDEX('İzin Planı'!$I$6:$I$35,24-5))&gt;0,INDEX('İzin Planı'!$I$6:$I$35,24-5)&lt;=('Özet'!$C$6+7*19)+6,INDEX('İzin Planı'!$J$6:$J$35,24-5)&gt;=('Özet'!$C$6+7*19)),AND(N(INDEX('İzin Planı'!$L$6:$L$35,24-5))&gt;0,INDEX('İzin Planı'!$L$6:$L$35,24-5)&lt;=('Özet'!$C$6+7*19)+6,INDEX('İzin Planı'!$M$6:$M$35,24-5)&gt;=('Özet'!$C$6+7*19))),"İ",""))</f>
      </c>
      <c r="W24" s="13">
        <f>IF(INDEX('İzin Planı'!$C$6:$C$35,24-5)="","",IF(OR(AND(N(INDEX('İzin Planı'!$F$6:$F$35,24-5))&gt;0,INDEX('İzin Planı'!$F$6:$F$35,24-5)&lt;=('Özet'!$C$6+7*20)+6,INDEX('İzin Planı'!$G$6:$G$35,24-5)&gt;=('Özet'!$C$6+7*20)),AND(N(INDEX('İzin Planı'!$I$6:$I$35,24-5))&gt;0,INDEX('İzin Planı'!$I$6:$I$35,24-5)&lt;=('Özet'!$C$6+7*20)+6,INDEX('İzin Planı'!$J$6:$J$35,24-5)&gt;=('Özet'!$C$6+7*20)),AND(N(INDEX('İzin Planı'!$L$6:$L$35,24-5))&gt;0,INDEX('İzin Planı'!$L$6:$L$35,24-5)&lt;=('Özet'!$C$6+7*20)+6,INDEX('İzin Planı'!$M$6:$M$35,24-5)&gt;=('Özet'!$C$6+7*20))),"İ",""))</f>
      </c>
      <c r="X24" s="13">
        <f>IF(INDEX('İzin Planı'!$C$6:$C$35,24-5)="","",IF(OR(AND(N(INDEX('İzin Planı'!$F$6:$F$35,24-5))&gt;0,INDEX('İzin Planı'!$F$6:$F$35,24-5)&lt;=('Özet'!$C$6+7*21)+6,INDEX('İzin Planı'!$G$6:$G$35,24-5)&gt;=('Özet'!$C$6+7*21)),AND(N(INDEX('İzin Planı'!$I$6:$I$35,24-5))&gt;0,INDEX('İzin Planı'!$I$6:$I$35,24-5)&lt;=('Özet'!$C$6+7*21)+6,INDEX('İzin Planı'!$J$6:$J$35,24-5)&gt;=('Özet'!$C$6+7*21)),AND(N(INDEX('İzin Planı'!$L$6:$L$35,24-5))&gt;0,INDEX('İzin Planı'!$L$6:$L$35,24-5)&lt;=('Özet'!$C$6+7*21)+6,INDEX('İzin Planı'!$M$6:$M$35,24-5)&gt;=('Özet'!$C$6+7*21))),"İ",""))</f>
      </c>
      <c r="Y24" s="13">
        <f>IF(INDEX('İzin Planı'!$C$6:$C$35,24-5)="","",IF(OR(AND(N(INDEX('İzin Planı'!$F$6:$F$35,24-5))&gt;0,INDEX('İzin Planı'!$F$6:$F$35,24-5)&lt;=('Özet'!$C$6+7*22)+6,INDEX('İzin Planı'!$G$6:$G$35,24-5)&gt;=('Özet'!$C$6+7*22)),AND(N(INDEX('İzin Planı'!$I$6:$I$35,24-5))&gt;0,INDEX('İzin Planı'!$I$6:$I$35,24-5)&lt;=('Özet'!$C$6+7*22)+6,INDEX('İzin Planı'!$J$6:$J$35,24-5)&gt;=('Özet'!$C$6+7*22)),AND(N(INDEX('İzin Planı'!$L$6:$L$35,24-5))&gt;0,INDEX('İzin Planı'!$L$6:$L$35,24-5)&lt;=('Özet'!$C$6+7*22)+6,INDEX('İzin Planı'!$M$6:$M$35,24-5)&gt;=('Özet'!$C$6+7*22))),"İ",""))</f>
      </c>
      <c r="Z24" s="13">
        <f>IF(INDEX('İzin Planı'!$C$6:$C$35,24-5)="","",IF(OR(AND(N(INDEX('İzin Planı'!$F$6:$F$35,24-5))&gt;0,INDEX('İzin Planı'!$F$6:$F$35,24-5)&lt;=('Özet'!$C$6+7*23)+6,INDEX('İzin Planı'!$G$6:$G$35,24-5)&gt;=('Özet'!$C$6+7*23)),AND(N(INDEX('İzin Planı'!$I$6:$I$35,24-5))&gt;0,INDEX('İzin Planı'!$I$6:$I$35,24-5)&lt;=('Özet'!$C$6+7*23)+6,INDEX('İzin Planı'!$J$6:$J$35,24-5)&gt;=('Özet'!$C$6+7*23)),AND(N(INDEX('İzin Planı'!$L$6:$L$35,24-5))&gt;0,INDEX('İzin Planı'!$L$6:$L$35,24-5)&lt;=('Özet'!$C$6+7*23)+6,INDEX('İzin Planı'!$M$6:$M$35,24-5)&gt;=('Özet'!$C$6+7*23))),"İ",""))</f>
      </c>
      <c r="AA24" s="13">
        <f>IF(INDEX('İzin Planı'!$C$6:$C$35,24-5)="","",IF(OR(AND(N(INDEX('İzin Planı'!$F$6:$F$35,24-5))&gt;0,INDEX('İzin Planı'!$F$6:$F$35,24-5)&lt;=('Özet'!$C$6+7*24)+6,INDEX('İzin Planı'!$G$6:$G$35,24-5)&gt;=('Özet'!$C$6+7*24)),AND(N(INDEX('İzin Planı'!$I$6:$I$35,24-5))&gt;0,INDEX('İzin Planı'!$I$6:$I$35,24-5)&lt;=('Özet'!$C$6+7*24)+6,INDEX('İzin Planı'!$J$6:$J$35,24-5)&gt;=('Özet'!$C$6+7*24)),AND(N(INDEX('İzin Planı'!$L$6:$L$35,24-5))&gt;0,INDEX('İzin Planı'!$L$6:$L$35,24-5)&lt;=('Özet'!$C$6+7*24)+6,INDEX('İzin Planı'!$M$6:$M$35,24-5)&gt;=('Özet'!$C$6+7*24))),"İ",""))</f>
      </c>
      <c r="AB24" s="13">
        <f>IF(INDEX('İzin Planı'!$C$6:$C$35,24-5)="","",IF(OR(AND(N(INDEX('İzin Planı'!$F$6:$F$35,24-5))&gt;0,INDEX('İzin Planı'!$F$6:$F$35,24-5)&lt;=('Özet'!$C$6+7*25)+6,INDEX('İzin Planı'!$G$6:$G$35,24-5)&gt;=('Özet'!$C$6+7*25)),AND(N(INDEX('İzin Planı'!$I$6:$I$35,24-5))&gt;0,INDEX('İzin Planı'!$I$6:$I$35,24-5)&lt;=('Özet'!$C$6+7*25)+6,INDEX('İzin Planı'!$J$6:$J$35,24-5)&gt;=('Özet'!$C$6+7*25)),AND(N(INDEX('İzin Planı'!$L$6:$L$35,24-5))&gt;0,INDEX('İzin Planı'!$L$6:$L$35,24-5)&lt;=('Özet'!$C$6+7*25)+6,INDEX('İzin Planı'!$M$6:$M$35,24-5)&gt;=('Özet'!$C$6+7*25))),"İ",""))</f>
      </c>
      <c r="AC24" s="13">
        <f>IF(INDEX('İzin Planı'!$C$6:$C$35,24-5)="","",IF(OR(AND(N(INDEX('İzin Planı'!$F$6:$F$35,24-5))&gt;0,INDEX('İzin Planı'!$F$6:$F$35,24-5)&lt;=('Özet'!$C$6+7*26)+6,INDEX('İzin Planı'!$G$6:$G$35,24-5)&gt;=('Özet'!$C$6+7*26)),AND(N(INDEX('İzin Planı'!$I$6:$I$35,24-5))&gt;0,INDEX('İzin Planı'!$I$6:$I$35,24-5)&lt;=('Özet'!$C$6+7*26)+6,INDEX('İzin Planı'!$J$6:$J$35,24-5)&gt;=('Özet'!$C$6+7*26)),AND(N(INDEX('İzin Planı'!$L$6:$L$35,24-5))&gt;0,INDEX('İzin Planı'!$L$6:$L$35,24-5)&lt;=('Özet'!$C$6+7*26)+6,INDEX('İzin Planı'!$M$6:$M$35,24-5)&gt;=('Özet'!$C$6+7*26))),"İ",""))</f>
      </c>
      <c r="AD24" s="13">
        <f>IF(INDEX('İzin Planı'!$C$6:$C$35,24-5)="","",IF(OR(AND(N(INDEX('İzin Planı'!$F$6:$F$35,24-5))&gt;0,INDEX('İzin Planı'!$F$6:$F$35,24-5)&lt;=('Özet'!$C$6+7*27)+6,INDEX('İzin Planı'!$G$6:$G$35,24-5)&gt;=('Özet'!$C$6+7*27)),AND(N(INDEX('İzin Planı'!$I$6:$I$35,24-5))&gt;0,INDEX('İzin Planı'!$I$6:$I$35,24-5)&lt;=('Özet'!$C$6+7*27)+6,INDEX('İzin Planı'!$J$6:$J$35,24-5)&gt;=('Özet'!$C$6+7*27)),AND(N(INDEX('İzin Planı'!$L$6:$L$35,24-5))&gt;0,INDEX('İzin Planı'!$L$6:$L$35,24-5)&lt;=('Özet'!$C$6+7*27)+6,INDEX('İzin Planı'!$M$6:$M$35,24-5)&gt;=('Özet'!$C$6+7*27))),"İ",""))</f>
      </c>
      <c r="AE24" s="13">
        <f>IF(INDEX('İzin Planı'!$C$6:$C$35,24-5)="","",IF(OR(AND(N(INDEX('İzin Planı'!$F$6:$F$35,24-5))&gt;0,INDEX('İzin Planı'!$F$6:$F$35,24-5)&lt;=('Özet'!$C$6+7*28)+6,INDEX('İzin Planı'!$G$6:$G$35,24-5)&gt;=('Özet'!$C$6+7*28)),AND(N(INDEX('İzin Planı'!$I$6:$I$35,24-5))&gt;0,INDEX('İzin Planı'!$I$6:$I$35,24-5)&lt;=('Özet'!$C$6+7*28)+6,INDEX('İzin Planı'!$J$6:$J$35,24-5)&gt;=('Özet'!$C$6+7*28)),AND(N(INDEX('İzin Planı'!$L$6:$L$35,24-5))&gt;0,INDEX('İzin Planı'!$L$6:$L$35,24-5)&lt;=('Özet'!$C$6+7*28)+6,INDEX('İzin Planı'!$M$6:$M$35,24-5)&gt;=('Özet'!$C$6+7*28))),"İ",""))</f>
      </c>
      <c r="AF24" s="13">
        <f>IF(INDEX('İzin Planı'!$C$6:$C$35,24-5)="","",IF(OR(AND(N(INDEX('İzin Planı'!$F$6:$F$35,24-5))&gt;0,INDEX('İzin Planı'!$F$6:$F$35,24-5)&lt;=('Özet'!$C$6+7*29)+6,INDEX('İzin Planı'!$G$6:$G$35,24-5)&gt;=('Özet'!$C$6+7*29)),AND(N(INDEX('İzin Planı'!$I$6:$I$35,24-5))&gt;0,INDEX('İzin Planı'!$I$6:$I$35,24-5)&lt;=('Özet'!$C$6+7*29)+6,INDEX('İzin Planı'!$J$6:$J$35,24-5)&gt;=('Özet'!$C$6+7*29)),AND(N(INDEX('İzin Planı'!$L$6:$L$35,24-5))&gt;0,INDEX('İzin Planı'!$L$6:$L$35,24-5)&lt;=('Özet'!$C$6+7*29)+6,INDEX('İzin Planı'!$M$6:$M$35,24-5)&gt;=('Özet'!$C$6+7*29))),"İ",""))</f>
      </c>
      <c r="AG24" s="13">
        <f>IF(INDEX('İzin Planı'!$C$6:$C$35,24-5)="","",IF(OR(AND(N(INDEX('İzin Planı'!$F$6:$F$35,24-5))&gt;0,INDEX('İzin Planı'!$F$6:$F$35,24-5)&lt;=('Özet'!$C$6+7*30)+6,INDEX('İzin Planı'!$G$6:$G$35,24-5)&gt;=('Özet'!$C$6+7*30)),AND(N(INDEX('İzin Planı'!$I$6:$I$35,24-5))&gt;0,INDEX('İzin Planı'!$I$6:$I$35,24-5)&lt;=('Özet'!$C$6+7*30)+6,INDEX('İzin Planı'!$J$6:$J$35,24-5)&gt;=('Özet'!$C$6+7*30)),AND(N(INDEX('İzin Planı'!$L$6:$L$35,24-5))&gt;0,INDEX('İzin Planı'!$L$6:$L$35,24-5)&lt;=('Özet'!$C$6+7*30)+6,INDEX('İzin Planı'!$M$6:$M$35,24-5)&gt;=('Özet'!$C$6+7*30))),"İ",""))</f>
      </c>
      <c r="AH24" s="13">
        <f>IF(INDEX('İzin Planı'!$C$6:$C$35,24-5)="","",IF(OR(AND(N(INDEX('İzin Planı'!$F$6:$F$35,24-5))&gt;0,INDEX('İzin Planı'!$F$6:$F$35,24-5)&lt;=('Özet'!$C$6+7*31)+6,INDEX('İzin Planı'!$G$6:$G$35,24-5)&gt;=('Özet'!$C$6+7*31)),AND(N(INDEX('İzin Planı'!$I$6:$I$35,24-5))&gt;0,INDEX('İzin Planı'!$I$6:$I$35,24-5)&lt;=('Özet'!$C$6+7*31)+6,INDEX('İzin Planı'!$J$6:$J$35,24-5)&gt;=('Özet'!$C$6+7*31)),AND(N(INDEX('İzin Planı'!$L$6:$L$35,24-5))&gt;0,INDEX('İzin Planı'!$L$6:$L$35,24-5)&lt;=('Özet'!$C$6+7*31)+6,INDEX('İzin Planı'!$M$6:$M$35,24-5)&gt;=('Özet'!$C$6+7*31))),"İ",""))</f>
      </c>
      <c r="AI24" s="13">
        <f>IF(INDEX('İzin Planı'!$C$6:$C$35,24-5)="","",IF(OR(AND(N(INDEX('İzin Planı'!$F$6:$F$35,24-5))&gt;0,INDEX('İzin Planı'!$F$6:$F$35,24-5)&lt;=('Özet'!$C$6+7*32)+6,INDEX('İzin Planı'!$G$6:$G$35,24-5)&gt;=('Özet'!$C$6+7*32)),AND(N(INDEX('İzin Planı'!$I$6:$I$35,24-5))&gt;0,INDEX('İzin Planı'!$I$6:$I$35,24-5)&lt;=('Özet'!$C$6+7*32)+6,INDEX('İzin Planı'!$J$6:$J$35,24-5)&gt;=('Özet'!$C$6+7*32)),AND(N(INDEX('İzin Planı'!$L$6:$L$35,24-5))&gt;0,INDEX('İzin Planı'!$L$6:$L$35,24-5)&lt;=('Özet'!$C$6+7*32)+6,INDEX('İzin Planı'!$M$6:$M$35,24-5)&gt;=('Özet'!$C$6+7*32))),"İ",""))</f>
      </c>
      <c r="AJ24" s="13">
        <f>IF(INDEX('İzin Planı'!$C$6:$C$35,24-5)="","",IF(OR(AND(N(INDEX('İzin Planı'!$F$6:$F$35,24-5))&gt;0,INDEX('İzin Planı'!$F$6:$F$35,24-5)&lt;=('Özet'!$C$6+7*33)+6,INDEX('İzin Planı'!$G$6:$G$35,24-5)&gt;=('Özet'!$C$6+7*33)),AND(N(INDEX('İzin Planı'!$I$6:$I$35,24-5))&gt;0,INDEX('İzin Planı'!$I$6:$I$35,24-5)&lt;=('Özet'!$C$6+7*33)+6,INDEX('İzin Planı'!$J$6:$J$35,24-5)&gt;=('Özet'!$C$6+7*33)),AND(N(INDEX('İzin Planı'!$L$6:$L$35,24-5))&gt;0,INDEX('İzin Planı'!$L$6:$L$35,24-5)&lt;=('Özet'!$C$6+7*33)+6,INDEX('İzin Planı'!$M$6:$M$35,24-5)&gt;=('Özet'!$C$6+7*33))),"İ",""))</f>
      </c>
      <c r="AK24" s="13">
        <f>IF(INDEX('İzin Planı'!$C$6:$C$35,24-5)="","",IF(OR(AND(N(INDEX('İzin Planı'!$F$6:$F$35,24-5))&gt;0,INDEX('İzin Planı'!$F$6:$F$35,24-5)&lt;=('Özet'!$C$6+7*34)+6,INDEX('İzin Planı'!$G$6:$G$35,24-5)&gt;=('Özet'!$C$6+7*34)),AND(N(INDEX('İzin Planı'!$I$6:$I$35,24-5))&gt;0,INDEX('İzin Planı'!$I$6:$I$35,24-5)&lt;=('Özet'!$C$6+7*34)+6,INDEX('İzin Planı'!$J$6:$J$35,24-5)&gt;=('Özet'!$C$6+7*34)),AND(N(INDEX('İzin Planı'!$L$6:$L$35,24-5))&gt;0,INDEX('İzin Planı'!$L$6:$L$35,24-5)&lt;=('Özet'!$C$6+7*34)+6,INDEX('İzin Planı'!$M$6:$M$35,24-5)&gt;=('Özet'!$C$6+7*34))),"İ",""))</f>
      </c>
      <c r="AL24" s="13">
        <f>IF(INDEX('İzin Planı'!$C$6:$C$35,24-5)="","",IF(OR(AND(N(INDEX('İzin Planı'!$F$6:$F$35,24-5))&gt;0,INDEX('İzin Planı'!$F$6:$F$35,24-5)&lt;=('Özet'!$C$6+7*35)+6,INDEX('İzin Planı'!$G$6:$G$35,24-5)&gt;=('Özet'!$C$6+7*35)),AND(N(INDEX('İzin Planı'!$I$6:$I$35,24-5))&gt;0,INDEX('İzin Planı'!$I$6:$I$35,24-5)&lt;=('Özet'!$C$6+7*35)+6,INDEX('İzin Planı'!$J$6:$J$35,24-5)&gt;=('Özet'!$C$6+7*35)),AND(N(INDEX('İzin Planı'!$L$6:$L$35,24-5))&gt;0,INDEX('İzin Planı'!$L$6:$L$35,24-5)&lt;=('Özet'!$C$6+7*35)+6,INDEX('İzin Planı'!$M$6:$M$35,24-5)&gt;=('Özet'!$C$6+7*35))),"İ",""))</f>
      </c>
      <c r="AM24" s="13">
        <f>IF(INDEX('İzin Planı'!$C$6:$C$35,24-5)="","",IF(OR(AND(N(INDEX('İzin Planı'!$F$6:$F$35,24-5))&gt;0,INDEX('İzin Planı'!$F$6:$F$35,24-5)&lt;=('Özet'!$C$6+7*36)+6,INDEX('İzin Planı'!$G$6:$G$35,24-5)&gt;=('Özet'!$C$6+7*36)),AND(N(INDEX('İzin Planı'!$I$6:$I$35,24-5))&gt;0,INDEX('İzin Planı'!$I$6:$I$35,24-5)&lt;=('Özet'!$C$6+7*36)+6,INDEX('İzin Planı'!$J$6:$J$35,24-5)&gt;=('Özet'!$C$6+7*36)),AND(N(INDEX('İzin Planı'!$L$6:$L$35,24-5))&gt;0,INDEX('İzin Planı'!$L$6:$L$35,24-5)&lt;=('Özet'!$C$6+7*36)+6,INDEX('İzin Planı'!$M$6:$M$35,24-5)&gt;=('Özet'!$C$6+7*36))),"İ",""))</f>
      </c>
      <c r="AN24" s="13">
        <f>IF(INDEX('İzin Planı'!$C$6:$C$35,24-5)="","",IF(OR(AND(N(INDEX('İzin Planı'!$F$6:$F$35,24-5))&gt;0,INDEX('İzin Planı'!$F$6:$F$35,24-5)&lt;=('Özet'!$C$6+7*37)+6,INDEX('İzin Planı'!$G$6:$G$35,24-5)&gt;=('Özet'!$C$6+7*37)),AND(N(INDEX('İzin Planı'!$I$6:$I$35,24-5))&gt;0,INDEX('İzin Planı'!$I$6:$I$35,24-5)&lt;=('Özet'!$C$6+7*37)+6,INDEX('İzin Planı'!$J$6:$J$35,24-5)&gt;=('Özet'!$C$6+7*37)),AND(N(INDEX('İzin Planı'!$L$6:$L$35,24-5))&gt;0,INDEX('İzin Planı'!$L$6:$L$35,24-5)&lt;=('Özet'!$C$6+7*37)+6,INDEX('İzin Planı'!$M$6:$M$35,24-5)&gt;=('Özet'!$C$6+7*37))),"İ",""))</f>
      </c>
      <c r="AO24" s="13">
        <f>IF(INDEX('İzin Planı'!$C$6:$C$35,24-5)="","",IF(OR(AND(N(INDEX('İzin Planı'!$F$6:$F$35,24-5))&gt;0,INDEX('İzin Planı'!$F$6:$F$35,24-5)&lt;=('Özet'!$C$6+7*38)+6,INDEX('İzin Planı'!$G$6:$G$35,24-5)&gt;=('Özet'!$C$6+7*38)),AND(N(INDEX('İzin Planı'!$I$6:$I$35,24-5))&gt;0,INDEX('İzin Planı'!$I$6:$I$35,24-5)&lt;=('Özet'!$C$6+7*38)+6,INDEX('İzin Planı'!$J$6:$J$35,24-5)&gt;=('Özet'!$C$6+7*38)),AND(N(INDEX('İzin Planı'!$L$6:$L$35,24-5))&gt;0,INDEX('İzin Planı'!$L$6:$L$35,24-5)&lt;=('Özet'!$C$6+7*38)+6,INDEX('İzin Planı'!$M$6:$M$35,24-5)&gt;=('Özet'!$C$6+7*38))),"İ",""))</f>
      </c>
      <c r="AP24" s="13">
        <f>IF(INDEX('İzin Planı'!$C$6:$C$35,24-5)="","",IF(OR(AND(N(INDEX('İzin Planı'!$F$6:$F$35,24-5))&gt;0,INDEX('İzin Planı'!$F$6:$F$35,24-5)&lt;=('Özet'!$C$6+7*39)+6,INDEX('İzin Planı'!$G$6:$G$35,24-5)&gt;=('Özet'!$C$6+7*39)),AND(N(INDEX('İzin Planı'!$I$6:$I$35,24-5))&gt;0,INDEX('İzin Planı'!$I$6:$I$35,24-5)&lt;=('Özet'!$C$6+7*39)+6,INDEX('İzin Planı'!$J$6:$J$35,24-5)&gt;=('Özet'!$C$6+7*39)),AND(N(INDEX('İzin Planı'!$L$6:$L$35,24-5))&gt;0,INDEX('İzin Planı'!$L$6:$L$35,24-5)&lt;=('Özet'!$C$6+7*39)+6,INDEX('İzin Planı'!$M$6:$M$35,24-5)&gt;=('Özet'!$C$6+7*39))),"İ",""))</f>
      </c>
      <c r="AQ24" s="13">
        <f>IF(INDEX('İzin Planı'!$C$6:$C$35,24-5)="","",IF(OR(AND(N(INDEX('İzin Planı'!$F$6:$F$35,24-5))&gt;0,INDEX('İzin Planı'!$F$6:$F$35,24-5)&lt;=('Özet'!$C$6+7*40)+6,INDEX('İzin Planı'!$G$6:$G$35,24-5)&gt;=('Özet'!$C$6+7*40)),AND(N(INDEX('İzin Planı'!$I$6:$I$35,24-5))&gt;0,INDEX('İzin Planı'!$I$6:$I$35,24-5)&lt;=('Özet'!$C$6+7*40)+6,INDEX('İzin Planı'!$J$6:$J$35,24-5)&gt;=('Özet'!$C$6+7*40)),AND(N(INDEX('İzin Planı'!$L$6:$L$35,24-5))&gt;0,INDEX('İzin Planı'!$L$6:$L$35,24-5)&lt;=('Özet'!$C$6+7*40)+6,INDEX('İzin Planı'!$M$6:$M$35,24-5)&gt;=('Özet'!$C$6+7*40))),"İ",""))</f>
      </c>
      <c r="AR24" s="13">
        <f>IF(INDEX('İzin Planı'!$C$6:$C$35,24-5)="","",IF(OR(AND(N(INDEX('İzin Planı'!$F$6:$F$35,24-5))&gt;0,INDEX('İzin Planı'!$F$6:$F$35,24-5)&lt;=('Özet'!$C$6+7*41)+6,INDEX('İzin Planı'!$G$6:$G$35,24-5)&gt;=('Özet'!$C$6+7*41)),AND(N(INDEX('İzin Planı'!$I$6:$I$35,24-5))&gt;0,INDEX('İzin Planı'!$I$6:$I$35,24-5)&lt;=('Özet'!$C$6+7*41)+6,INDEX('İzin Planı'!$J$6:$J$35,24-5)&gt;=('Özet'!$C$6+7*41)),AND(N(INDEX('İzin Planı'!$L$6:$L$35,24-5))&gt;0,INDEX('İzin Planı'!$L$6:$L$35,24-5)&lt;=('Özet'!$C$6+7*41)+6,INDEX('İzin Planı'!$M$6:$M$35,24-5)&gt;=('Özet'!$C$6+7*41))),"İ",""))</f>
      </c>
      <c r="AS24" s="13">
        <f>IF(INDEX('İzin Planı'!$C$6:$C$35,24-5)="","",IF(OR(AND(N(INDEX('İzin Planı'!$F$6:$F$35,24-5))&gt;0,INDEX('İzin Planı'!$F$6:$F$35,24-5)&lt;=('Özet'!$C$6+7*42)+6,INDEX('İzin Planı'!$G$6:$G$35,24-5)&gt;=('Özet'!$C$6+7*42)),AND(N(INDEX('İzin Planı'!$I$6:$I$35,24-5))&gt;0,INDEX('İzin Planı'!$I$6:$I$35,24-5)&lt;=('Özet'!$C$6+7*42)+6,INDEX('İzin Planı'!$J$6:$J$35,24-5)&gt;=('Özet'!$C$6+7*42)),AND(N(INDEX('İzin Planı'!$L$6:$L$35,24-5))&gt;0,INDEX('İzin Planı'!$L$6:$L$35,24-5)&lt;=('Özet'!$C$6+7*42)+6,INDEX('İzin Planı'!$M$6:$M$35,24-5)&gt;=('Özet'!$C$6+7*42))),"İ",""))</f>
      </c>
      <c r="AT24" s="13">
        <f>IF(INDEX('İzin Planı'!$C$6:$C$35,24-5)="","",IF(OR(AND(N(INDEX('İzin Planı'!$F$6:$F$35,24-5))&gt;0,INDEX('İzin Planı'!$F$6:$F$35,24-5)&lt;=('Özet'!$C$6+7*43)+6,INDEX('İzin Planı'!$G$6:$G$35,24-5)&gt;=('Özet'!$C$6+7*43)),AND(N(INDEX('İzin Planı'!$I$6:$I$35,24-5))&gt;0,INDEX('İzin Planı'!$I$6:$I$35,24-5)&lt;=('Özet'!$C$6+7*43)+6,INDEX('İzin Planı'!$J$6:$J$35,24-5)&gt;=('Özet'!$C$6+7*43)),AND(N(INDEX('İzin Planı'!$L$6:$L$35,24-5))&gt;0,INDEX('İzin Planı'!$L$6:$L$35,24-5)&lt;=('Özet'!$C$6+7*43)+6,INDEX('İzin Planı'!$M$6:$M$35,24-5)&gt;=('Özet'!$C$6+7*43))),"İ",""))</f>
      </c>
      <c r="AU24" s="13">
        <f>IF(INDEX('İzin Planı'!$C$6:$C$35,24-5)="","",IF(OR(AND(N(INDEX('İzin Planı'!$F$6:$F$35,24-5))&gt;0,INDEX('İzin Planı'!$F$6:$F$35,24-5)&lt;=('Özet'!$C$6+7*44)+6,INDEX('İzin Planı'!$G$6:$G$35,24-5)&gt;=('Özet'!$C$6+7*44)),AND(N(INDEX('İzin Planı'!$I$6:$I$35,24-5))&gt;0,INDEX('İzin Planı'!$I$6:$I$35,24-5)&lt;=('Özet'!$C$6+7*44)+6,INDEX('İzin Planı'!$J$6:$J$35,24-5)&gt;=('Özet'!$C$6+7*44)),AND(N(INDEX('İzin Planı'!$L$6:$L$35,24-5))&gt;0,INDEX('İzin Planı'!$L$6:$L$35,24-5)&lt;=('Özet'!$C$6+7*44)+6,INDEX('İzin Planı'!$M$6:$M$35,24-5)&gt;=('Özet'!$C$6+7*44))),"İ",""))</f>
      </c>
      <c r="AV24" s="13">
        <f>IF(INDEX('İzin Planı'!$C$6:$C$35,24-5)="","",IF(OR(AND(N(INDEX('İzin Planı'!$F$6:$F$35,24-5))&gt;0,INDEX('İzin Planı'!$F$6:$F$35,24-5)&lt;=('Özet'!$C$6+7*45)+6,INDEX('İzin Planı'!$G$6:$G$35,24-5)&gt;=('Özet'!$C$6+7*45)),AND(N(INDEX('İzin Planı'!$I$6:$I$35,24-5))&gt;0,INDEX('İzin Planı'!$I$6:$I$35,24-5)&lt;=('Özet'!$C$6+7*45)+6,INDEX('İzin Planı'!$J$6:$J$35,24-5)&gt;=('Özet'!$C$6+7*45)),AND(N(INDEX('İzin Planı'!$L$6:$L$35,24-5))&gt;0,INDEX('İzin Planı'!$L$6:$L$35,24-5)&lt;=('Özet'!$C$6+7*45)+6,INDEX('İzin Planı'!$M$6:$M$35,24-5)&gt;=('Özet'!$C$6+7*45))),"İ",""))</f>
      </c>
      <c r="AW24" s="13">
        <f>IF(INDEX('İzin Planı'!$C$6:$C$35,24-5)="","",IF(OR(AND(N(INDEX('İzin Planı'!$F$6:$F$35,24-5))&gt;0,INDEX('İzin Planı'!$F$6:$F$35,24-5)&lt;=('Özet'!$C$6+7*46)+6,INDEX('İzin Planı'!$G$6:$G$35,24-5)&gt;=('Özet'!$C$6+7*46)),AND(N(INDEX('İzin Planı'!$I$6:$I$35,24-5))&gt;0,INDEX('İzin Planı'!$I$6:$I$35,24-5)&lt;=('Özet'!$C$6+7*46)+6,INDEX('İzin Planı'!$J$6:$J$35,24-5)&gt;=('Özet'!$C$6+7*46)),AND(N(INDEX('İzin Planı'!$L$6:$L$35,24-5))&gt;0,INDEX('İzin Planı'!$L$6:$L$35,24-5)&lt;=('Özet'!$C$6+7*46)+6,INDEX('İzin Planı'!$M$6:$M$35,24-5)&gt;=('Özet'!$C$6+7*46))),"İ",""))</f>
      </c>
      <c r="AX24" s="13">
        <f>IF(INDEX('İzin Planı'!$C$6:$C$35,24-5)="","",IF(OR(AND(N(INDEX('İzin Planı'!$F$6:$F$35,24-5))&gt;0,INDEX('İzin Planı'!$F$6:$F$35,24-5)&lt;=('Özet'!$C$6+7*47)+6,INDEX('İzin Planı'!$G$6:$G$35,24-5)&gt;=('Özet'!$C$6+7*47)),AND(N(INDEX('İzin Planı'!$I$6:$I$35,24-5))&gt;0,INDEX('İzin Planı'!$I$6:$I$35,24-5)&lt;=('Özet'!$C$6+7*47)+6,INDEX('İzin Planı'!$J$6:$J$35,24-5)&gt;=('Özet'!$C$6+7*47)),AND(N(INDEX('İzin Planı'!$L$6:$L$35,24-5))&gt;0,INDEX('İzin Planı'!$L$6:$L$35,24-5)&lt;=('Özet'!$C$6+7*47)+6,INDEX('İzin Planı'!$M$6:$M$35,24-5)&gt;=('Özet'!$C$6+7*47))),"İ",""))</f>
      </c>
      <c r="AY24" s="13">
        <f>IF(INDEX('İzin Planı'!$C$6:$C$35,24-5)="","",IF(OR(AND(N(INDEX('İzin Planı'!$F$6:$F$35,24-5))&gt;0,INDEX('İzin Planı'!$F$6:$F$35,24-5)&lt;=('Özet'!$C$6+7*48)+6,INDEX('İzin Planı'!$G$6:$G$35,24-5)&gt;=('Özet'!$C$6+7*48)),AND(N(INDEX('İzin Planı'!$I$6:$I$35,24-5))&gt;0,INDEX('İzin Planı'!$I$6:$I$35,24-5)&lt;=('Özet'!$C$6+7*48)+6,INDEX('İzin Planı'!$J$6:$J$35,24-5)&gt;=('Özet'!$C$6+7*48)),AND(N(INDEX('İzin Planı'!$L$6:$L$35,24-5))&gt;0,INDEX('İzin Planı'!$L$6:$L$35,24-5)&lt;=('Özet'!$C$6+7*48)+6,INDEX('İzin Planı'!$M$6:$M$35,24-5)&gt;=('Özet'!$C$6+7*48))),"İ",""))</f>
      </c>
      <c r="AZ24" s="13">
        <f>IF(INDEX('İzin Planı'!$C$6:$C$35,24-5)="","",IF(OR(AND(N(INDEX('İzin Planı'!$F$6:$F$35,24-5))&gt;0,INDEX('İzin Planı'!$F$6:$F$35,24-5)&lt;=('Özet'!$C$6+7*49)+6,INDEX('İzin Planı'!$G$6:$G$35,24-5)&gt;=('Özet'!$C$6+7*49)),AND(N(INDEX('İzin Planı'!$I$6:$I$35,24-5))&gt;0,INDEX('İzin Planı'!$I$6:$I$35,24-5)&lt;=('Özet'!$C$6+7*49)+6,INDEX('İzin Planı'!$J$6:$J$35,24-5)&gt;=('Özet'!$C$6+7*49)),AND(N(INDEX('İzin Planı'!$L$6:$L$35,24-5))&gt;0,INDEX('İzin Planı'!$L$6:$L$35,24-5)&lt;=('Özet'!$C$6+7*49)+6,INDEX('İzin Planı'!$M$6:$M$35,24-5)&gt;=('Özet'!$C$6+7*49))),"İ",""))</f>
      </c>
      <c r="BA24" s="13">
        <f>IF(INDEX('İzin Planı'!$C$6:$C$35,24-5)="","",IF(OR(AND(N(INDEX('İzin Planı'!$F$6:$F$35,24-5))&gt;0,INDEX('İzin Planı'!$F$6:$F$35,24-5)&lt;=('Özet'!$C$6+7*50)+6,INDEX('İzin Planı'!$G$6:$G$35,24-5)&gt;=('Özet'!$C$6+7*50)),AND(N(INDEX('İzin Planı'!$I$6:$I$35,24-5))&gt;0,INDEX('İzin Planı'!$I$6:$I$35,24-5)&lt;=('Özet'!$C$6+7*50)+6,INDEX('İzin Planı'!$J$6:$J$35,24-5)&gt;=('Özet'!$C$6+7*50)),AND(N(INDEX('İzin Planı'!$L$6:$L$35,24-5))&gt;0,INDEX('İzin Planı'!$L$6:$L$35,24-5)&lt;=('Özet'!$C$6+7*50)+6,INDEX('İzin Planı'!$M$6:$M$35,24-5)&gt;=('Özet'!$C$6+7*50))),"İ",""))</f>
      </c>
      <c r="BB24" s="13">
        <f>IF(INDEX('İzin Planı'!$C$6:$C$35,24-5)="","",IF(OR(AND(N(INDEX('İzin Planı'!$F$6:$F$35,24-5))&gt;0,INDEX('İzin Planı'!$F$6:$F$35,24-5)&lt;=('Özet'!$C$6+7*51)+6,INDEX('İzin Planı'!$G$6:$G$35,24-5)&gt;=('Özet'!$C$6+7*51)),AND(N(INDEX('İzin Planı'!$I$6:$I$35,24-5))&gt;0,INDEX('İzin Planı'!$I$6:$I$35,24-5)&lt;=('Özet'!$C$6+7*51)+6,INDEX('İzin Planı'!$J$6:$J$35,24-5)&gt;=('Özet'!$C$6+7*51)),AND(N(INDEX('İzin Planı'!$L$6:$L$35,24-5))&gt;0,INDEX('İzin Planı'!$L$6:$L$35,24-5)&lt;=('Özet'!$C$6+7*51)+6,INDEX('İzin Planı'!$M$6:$M$35,24-5)&gt;=('Özet'!$C$6+7*51))),"İ",""))</f>
      </c>
      <c r="BC24" s="13">
        <f>IF(INDEX('İzin Planı'!$C$6:$C$35,24-5)="","",IF(OR(AND(N(INDEX('İzin Planı'!$F$6:$F$35,24-5))&gt;0,INDEX('İzin Planı'!$F$6:$F$35,24-5)&lt;=('Özet'!$C$6+7*52)+6,INDEX('İzin Planı'!$G$6:$G$35,24-5)&gt;=('Özet'!$C$6+7*52)),AND(N(INDEX('İzin Planı'!$I$6:$I$35,24-5))&gt;0,INDEX('İzin Planı'!$I$6:$I$35,24-5)&lt;=('Özet'!$C$6+7*52)+6,INDEX('İzin Planı'!$J$6:$J$35,24-5)&gt;=('Özet'!$C$6+7*52)),AND(N(INDEX('İzin Planı'!$L$6:$L$35,24-5))&gt;0,INDEX('İzin Planı'!$L$6:$L$35,24-5)&lt;=('Özet'!$C$6+7*52)+6,INDEX('İzin Planı'!$M$6:$M$35,24-5)&gt;=('Özet'!$C$6+7*52))),"İ",""))</f>
      </c>
    </row>
    <row r="25" ht="18" customHeight="1" spans="1:55" x14ac:dyDescent="0.25">
      <c r="A25" s="6">
        <v>20</v>
      </c>
      <c r="B25" s="13">
        <f>IF(INDEX('İzin Planı'!$C$6:$C$35,25-5)="","",INDEX('İzin Planı'!$C$6:$C$35,25-5))</f>
      </c>
      <c r="C25" s="13">
        <f>IF(INDEX('İzin Planı'!$C$6:$C$35,25-5)="","",IF(OR(AND(N(INDEX('İzin Planı'!$F$6:$F$35,25-5))&gt;0,INDEX('İzin Planı'!$F$6:$F$35,25-5)&lt;=('Özet'!$C$6+7*0)+6,INDEX('İzin Planı'!$G$6:$G$35,25-5)&gt;=('Özet'!$C$6+7*0)),AND(N(INDEX('İzin Planı'!$I$6:$I$35,25-5))&gt;0,INDEX('İzin Planı'!$I$6:$I$35,25-5)&lt;=('Özet'!$C$6+7*0)+6,INDEX('İzin Planı'!$J$6:$J$35,25-5)&gt;=('Özet'!$C$6+7*0)),AND(N(INDEX('İzin Planı'!$L$6:$L$35,25-5))&gt;0,INDEX('İzin Planı'!$L$6:$L$35,25-5)&lt;=('Özet'!$C$6+7*0)+6,INDEX('İzin Planı'!$M$6:$M$35,25-5)&gt;=('Özet'!$C$6+7*0))),"İ",""))</f>
      </c>
      <c r="D25" s="13">
        <f>IF(INDEX('İzin Planı'!$C$6:$C$35,25-5)="","",IF(OR(AND(N(INDEX('İzin Planı'!$F$6:$F$35,25-5))&gt;0,INDEX('İzin Planı'!$F$6:$F$35,25-5)&lt;=('Özet'!$C$6+7*1)+6,INDEX('İzin Planı'!$G$6:$G$35,25-5)&gt;=('Özet'!$C$6+7*1)),AND(N(INDEX('İzin Planı'!$I$6:$I$35,25-5))&gt;0,INDEX('İzin Planı'!$I$6:$I$35,25-5)&lt;=('Özet'!$C$6+7*1)+6,INDEX('İzin Planı'!$J$6:$J$35,25-5)&gt;=('Özet'!$C$6+7*1)),AND(N(INDEX('İzin Planı'!$L$6:$L$35,25-5))&gt;0,INDEX('İzin Planı'!$L$6:$L$35,25-5)&lt;=('Özet'!$C$6+7*1)+6,INDEX('İzin Planı'!$M$6:$M$35,25-5)&gt;=('Özet'!$C$6+7*1))),"İ",""))</f>
      </c>
      <c r="E25" s="13">
        <f>IF(INDEX('İzin Planı'!$C$6:$C$35,25-5)="","",IF(OR(AND(N(INDEX('İzin Planı'!$F$6:$F$35,25-5))&gt;0,INDEX('İzin Planı'!$F$6:$F$35,25-5)&lt;=('Özet'!$C$6+7*2)+6,INDEX('İzin Planı'!$G$6:$G$35,25-5)&gt;=('Özet'!$C$6+7*2)),AND(N(INDEX('İzin Planı'!$I$6:$I$35,25-5))&gt;0,INDEX('İzin Planı'!$I$6:$I$35,25-5)&lt;=('Özet'!$C$6+7*2)+6,INDEX('İzin Planı'!$J$6:$J$35,25-5)&gt;=('Özet'!$C$6+7*2)),AND(N(INDEX('İzin Planı'!$L$6:$L$35,25-5))&gt;0,INDEX('İzin Planı'!$L$6:$L$35,25-5)&lt;=('Özet'!$C$6+7*2)+6,INDEX('İzin Planı'!$M$6:$M$35,25-5)&gt;=('Özet'!$C$6+7*2))),"İ",""))</f>
      </c>
      <c r="F25" s="13">
        <f>IF(INDEX('İzin Planı'!$C$6:$C$35,25-5)="","",IF(OR(AND(N(INDEX('İzin Planı'!$F$6:$F$35,25-5))&gt;0,INDEX('İzin Planı'!$F$6:$F$35,25-5)&lt;=('Özet'!$C$6+7*3)+6,INDEX('İzin Planı'!$G$6:$G$35,25-5)&gt;=('Özet'!$C$6+7*3)),AND(N(INDEX('İzin Planı'!$I$6:$I$35,25-5))&gt;0,INDEX('İzin Planı'!$I$6:$I$35,25-5)&lt;=('Özet'!$C$6+7*3)+6,INDEX('İzin Planı'!$J$6:$J$35,25-5)&gt;=('Özet'!$C$6+7*3)),AND(N(INDEX('İzin Planı'!$L$6:$L$35,25-5))&gt;0,INDEX('İzin Planı'!$L$6:$L$35,25-5)&lt;=('Özet'!$C$6+7*3)+6,INDEX('İzin Planı'!$M$6:$M$35,25-5)&gt;=('Özet'!$C$6+7*3))),"İ",""))</f>
      </c>
      <c r="G25" s="13">
        <f>IF(INDEX('İzin Planı'!$C$6:$C$35,25-5)="","",IF(OR(AND(N(INDEX('İzin Planı'!$F$6:$F$35,25-5))&gt;0,INDEX('İzin Planı'!$F$6:$F$35,25-5)&lt;=('Özet'!$C$6+7*4)+6,INDEX('İzin Planı'!$G$6:$G$35,25-5)&gt;=('Özet'!$C$6+7*4)),AND(N(INDEX('İzin Planı'!$I$6:$I$35,25-5))&gt;0,INDEX('İzin Planı'!$I$6:$I$35,25-5)&lt;=('Özet'!$C$6+7*4)+6,INDEX('İzin Planı'!$J$6:$J$35,25-5)&gt;=('Özet'!$C$6+7*4)),AND(N(INDEX('İzin Planı'!$L$6:$L$35,25-5))&gt;0,INDEX('İzin Planı'!$L$6:$L$35,25-5)&lt;=('Özet'!$C$6+7*4)+6,INDEX('İzin Planı'!$M$6:$M$35,25-5)&gt;=('Özet'!$C$6+7*4))),"İ",""))</f>
      </c>
      <c r="H25" s="13">
        <f>IF(INDEX('İzin Planı'!$C$6:$C$35,25-5)="","",IF(OR(AND(N(INDEX('İzin Planı'!$F$6:$F$35,25-5))&gt;0,INDEX('İzin Planı'!$F$6:$F$35,25-5)&lt;=('Özet'!$C$6+7*5)+6,INDEX('İzin Planı'!$G$6:$G$35,25-5)&gt;=('Özet'!$C$6+7*5)),AND(N(INDEX('İzin Planı'!$I$6:$I$35,25-5))&gt;0,INDEX('İzin Planı'!$I$6:$I$35,25-5)&lt;=('Özet'!$C$6+7*5)+6,INDEX('İzin Planı'!$J$6:$J$35,25-5)&gt;=('Özet'!$C$6+7*5)),AND(N(INDEX('İzin Planı'!$L$6:$L$35,25-5))&gt;0,INDEX('İzin Planı'!$L$6:$L$35,25-5)&lt;=('Özet'!$C$6+7*5)+6,INDEX('İzin Planı'!$M$6:$M$35,25-5)&gt;=('Özet'!$C$6+7*5))),"İ",""))</f>
      </c>
      <c r="I25" s="13">
        <f>IF(INDEX('İzin Planı'!$C$6:$C$35,25-5)="","",IF(OR(AND(N(INDEX('İzin Planı'!$F$6:$F$35,25-5))&gt;0,INDEX('İzin Planı'!$F$6:$F$35,25-5)&lt;=('Özet'!$C$6+7*6)+6,INDEX('İzin Planı'!$G$6:$G$35,25-5)&gt;=('Özet'!$C$6+7*6)),AND(N(INDEX('İzin Planı'!$I$6:$I$35,25-5))&gt;0,INDEX('İzin Planı'!$I$6:$I$35,25-5)&lt;=('Özet'!$C$6+7*6)+6,INDEX('İzin Planı'!$J$6:$J$35,25-5)&gt;=('Özet'!$C$6+7*6)),AND(N(INDEX('İzin Planı'!$L$6:$L$35,25-5))&gt;0,INDEX('İzin Planı'!$L$6:$L$35,25-5)&lt;=('Özet'!$C$6+7*6)+6,INDEX('İzin Planı'!$M$6:$M$35,25-5)&gt;=('Özet'!$C$6+7*6))),"İ",""))</f>
      </c>
      <c r="J25" s="13">
        <f>IF(INDEX('İzin Planı'!$C$6:$C$35,25-5)="","",IF(OR(AND(N(INDEX('İzin Planı'!$F$6:$F$35,25-5))&gt;0,INDEX('İzin Planı'!$F$6:$F$35,25-5)&lt;=('Özet'!$C$6+7*7)+6,INDEX('İzin Planı'!$G$6:$G$35,25-5)&gt;=('Özet'!$C$6+7*7)),AND(N(INDEX('İzin Planı'!$I$6:$I$35,25-5))&gt;0,INDEX('İzin Planı'!$I$6:$I$35,25-5)&lt;=('Özet'!$C$6+7*7)+6,INDEX('İzin Planı'!$J$6:$J$35,25-5)&gt;=('Özet'!$C$6+7*7)),AND(N(INDEX('İzin Planı'!$L$6:$L$35,25-5))&gt;0,INDEX('İzin Planı'!$L$6:$L$35,25-5)&lt;=('Özet'!$C$6+7*7)+6,INDEX('İzin Planı'!$M$6:$M$35,25-5)&gt;=('Özet'!$C$6+7*7))),"İ",""))</f>
      </c>
      <c r="K25" s="13">
        <f>IF(INDEX('İzin Planı'!$C$6:$C$35,25-5)="","",IF(OR(AND(N(INDEX('İzin Planı'!$F$6:$F$35,25-5))&gt;0,INDEX('İzin Planı'!$F$6:$F$35,25-5)&lt;=('Özet'!$C$6+7*8)+6,INDEX('İzin Planı'!$G$6:$G$35,25-5)&gt;=('Özet'!$C$6+7*8)),AND(N(INDEX('İzin Planı'!$I$6:$I$35,25-5))&gt;0,INDEX('İzin Planı'!$I$6:$I$35,25-5)&lt;=('Özet'!$C$6+7*8)+6,INDEX('İzin Planı'!$J$6:$J$35,25-5)&gt;=('Özet'!$C$6+7*8)),AND(N(INDEX('İzin Planı'!$L$6:$L$35,25-5))&gt;0,INDEX('İzin Planı'!$L$6:$L$35,25-5)&lt;=('Özet'!$C$6+7*8)+6,INDEX('İzin Planı'!$M$6:$M$35,25-5)&gt;=('Özet'!$C$6+7*8))),"İ",""))</f>
      </c>
      <c r="L25" s="13">
        <f>IF(INDEX('İzin Planı'!$C$6:$C$35,25-5)="","",IF(OR(AND(N(INDEX('İzin Planı'!$F$6:$F$35,25-5))&gt;0,INDEX('İzin Planı'!$F$6:$F$35,25-5)&lt;=('Özet'!$C$6+7*9)+6,INDEX('İzin Planı'!$G$6:$G$35,25-5)&gt;=('Özet'!$C$6+7*9)),AND(N(INDEX('İzin Planı'!$I$6:$I$35,25-5))&gt;0,INDEX('İzin Planı'!$I$6:$I$35,25-5)&lt;=('Özet'!$C$6+7*9)+6,INDEX('İzin Planı'!$J$6:$J$35,25-5)&gt;=('Özet'!$C$6+7*9)),AND(N(INDEX('İzin Planı'!$L$6:$L$35,25-5))&gt;0,INDEX('İzin Planı'!$L$6:$L$35,25-5)&lt;=('Özet'!$C$6+7*9)+6,INDEX('İzin Planı'!$M$6:$M$35,25-5)&gt;=('Özet'!$C$6+7*9))),"İ",""))</f>
      </c>
      <c r="M25" s="13">
        <f>IF(INDEX('İzin Planı'!$C$6:$C$35,25-5)="","",IF(OR(AND(N(INDEX('İzin Planı'!$F$6:$F$35,25-5))&gt;0,INDEX('İzin Planı'!$F$6:$F$35,25-5)&lt;=('Özet'!$C$6+7*10)+6,INDEX('İzin Planı'!$G$6:$G$35,25-5)&gt;=('Özet'!$C$6+7*10)),AND(N(INDEX('İzin Planı'!$I$6:$I$35,25-5))&gt;0,INDEX('İzin Planı'!$I$6:$I$35,25-5)&lt;=('Özet'!$C$6+7*10)+6,INDEX('İzin Planı'!$J$6:$J$35,25-5)&gt;=('Özet'!$C$6+7*10)),AND(N(INDEX('İzin Planı'!$L$6:$L$35,25-5))&gt;0,INDEX('İzin Planı'!$L$6:$L$35,25-5)&lt;=('Özet'!$C$6+7*10)+6,INDEX('İzin Planı'!$M$6:$M$35,25-5)&gt;=('Özet'!$C$6+7*10))),"İ",""))</f>
      </c>
      <c r="N25" s="13">
        <f>IF(INDEX('İzin Planı'!$C$6:$C$35,25-5)="","",IF(OR(AND(N(INDEX('İzin Planı'!$F$6:$F$35,25-5))&gt;0,INDEX('İzin Planı'!$F$6:$F$35,25-5)&lt;=('Özet'!$C$6+7*11)+6,INDEX('İzin Planı'!$G$6:$G$35,25-5)&gt;=('Özet'!$C$6+7*11)),AND(N(INDEX('İzin Planı'!$I$6:$I$35,25-5))&gt;0,INDEX('İzin Planı'!$I$6:$I$35,25-5)&lt;=('Özet'!$C$6+7*11)+6,INDEX('İzin Planı'!$J$6:$J$35,25-5)&gt;=('Özet'!$C$6+7*11)),AND(N(INDEX('İzin Planı'!$L$6:$L$35,25-5))&gt;0,INDEX('İzin Planı'!$L$6:$L$35,25-5)&lt;=('Özet'!$C$6+7*11)+6,INDEX('İzin Planı'!$M$6:$M$35,25-5)&gt;=('Özet'!$C$6+7*11))),"İ",""))</f>
      </c>
      <c r="O25" s="13">
        <f>IF(INDEX('İzin Planı'!$C$6:$C$35,25-5)="","",IF(OR(AND(N(INDEX('İzin Planı'!$F$6:$F$35,25-5))&gt;0,INDEX('İzin Planı'!$F$6:$F$35,25-5)&lt;=('Özet'!$C$6+7*12)+6,INDEX('İzin Planı'!$G$6:$G$35,25-5)&gt;=('Özet'!$C$6+7*12)),AND(N(INDEX('İzin Planı'!$I$6:$I$35,25-5))&gt;0,INDEX('İzin Planı'!$I$6:$I$35,25-5)&lt;=('Özet'!$C$6+7*12)+6,INDEX('İzin Planı'!$J$6:$J$35,25-5)&gt;=('Özet'!$C$6+7*12)),AND(N(INDEX('İzin Planı'!$L$6:$L$35,25-5))&gt;0,INDEX('İzin Planı'!$L$6:$L$35,25-5)&lt;=('Özet'!$C$6+7*12)+6,INDEX('İzin Planı'!$M$6:$M$35,25-5)&gt;=('Özet'!$C$6+7*12))),"İ",""))</f>
      </c>
      <c r="P25" s="13">
        <f>IF(INDEX('İzin Planı'!$C$6:$C$35,25-5)="","",IF(OR(AND(N(INDEX('İzin Planı'!$F$6:$F$35,25-5))&gt;0,INDEX('İzin Planı'!$F$6:$F$35,25-5)&lt;=('Özet'!$C$6+7*13)+6,INDEX('İzin Planı'!$G$6:$G$35,25-5)&gt;=('Özet'!$C$6+7*13)),AND(N(INDEX('İzin Planı'!$I$6:$I$35,25-5))&gt;0,INDEX('İzin Planı'!$I$6:$I$35,25-5)&lt;=('Özet'!$C$6+7*13)+6,INDEX('İzin Planı'!$J$6:$J$35,25-5)&gt;=('Özet'!$C$6+7*13)),AND(N(INDEX('İzin Planı'!$L$6:$L$35,25-5))&gt;0,INDEX('İzin Planı'!$L$6:$L$35,25-5)&lt;=('Özet'!$C$6+7*13)+6,INDEX('İzin Planı'!$M$6:$M$35,25-5)&gt;=('Özet'!$C$6+7*13))),"İ",""))</f>
      </c>
      <c r="Q25" s="13">
        <f>IF(INDEX('İzin Planı'!$C$6:$C$35,25-5)="","",IF(OR(AND(N(INDEX('İzin Planı'!$F$6:$F$35,25-5))&gt;0,INDEX('İzin Planı'!$F$6:$F$35,25-5)&lt;=('Özet'!$C$6+7*14)+6,INDEX('İzin Planı'!$G$6:$G$35,25-5)&gt;=('Özet'!$C$6+7*14)),AND(N(INDEX('İzin Planı'!$I$6:$I$35,25-5))&gt;0,INDEX('İzin Planı'!$I$6:$I$35,25-5)&lt;=('Özet'!$C$6+7*14)+6,INDEX('İzin Planı'!$J$6:$J$35,25-5)&gt;=('Özet'!$C$6+7*14)),AND(N(INDEX('İzin Planı'!$L$6:$L$35,25-5))&gt;0,INDEX('İzin Planı'!$L$6:$L$35,25-5)&lt;=('Özet'!$C$6+7*14)+6,INDEX('İzin Planı'!$M$6:$M$35,25-5)&gt;=('Özet'!$C$6+7*14))),"İ",""))</f>
      </c>
      <c r="R25" s="13">
        <f>IF(INDEX('İzin Planı'!$C$6:$C$35,25-5)="","",IF(OR(AND(N(INDEX('İzin Planı'!$F$6:$F$35,25-5))&gt;0,INDEX('İzin Planı'!$F$6:$F$35,25-5)&lt;=('Özet'!$C$6+7*15)+6,INDEX('İzin Planı'!$G$6:$G$35,25-5)&gt;=('Özet'!$C$6+7*15)),AND(N(INDEX('İzin Planı'!$I$6:$I$35,25-5))&gt;0,INDEX('İzin Planı'!$I$6:$I$35,25-5)&lt;=('Özet'!$C$6+7*15)+6,INDEX('İzin Planı'!$J$6:$J$35,25-5)&gt;=('Özet'!$C$6+7*15)),AND(N(INDEX('İzin Planı'!$L$6:$L$35,25-5))&gt;0,INDEX('İzin Planı'!$L$6:$L$35,25-5)&lt;=('Özet'!$C$6+7*15)+6,INDEX('İzin Planı'!$M$6:$M$35,25-5)&gt;=('Özet'!$C$6+7*15))),"İ",""))</f>
      </c>
      <c r="S25" s="13">
        <f>IF(INDEX('İzin Planı'!$C$6:$C$35,25-5)="","",IF(OR(AND(N(INDEX('İzin Planı'!$F$6:$F$35,25-5))&gt;0,INDEX('İzin Planı'!$F$6:$F$35,25-5)&lt;=('Özet'!$C$6+7*16)+6,INDEX('İzin Planı'!$G$6:$G$35,25-5)&gt;=('Özet'!$C$6+7*16)),AND(N(INDEX('İzin Planı'!$I$6:$I$35,25-5))&gt;0,INDEX('İzin Planı'!$I$6:$I$35,25-5)&lt;=('Özet'!$C$6+7*16)+6,INDEX('İzin Planı'!$J$6:$J$35,25-5)&gt;=('Özet'!$C$6+7*16)),AND(N(INDEX('İzin Planı'!$L$6:$L$35,25-5))&gt;0,INDEX('İzin Planı'!$L$6:$L$35,25-5)&lt;=('Özet'!$C$6+7*16)+6,INDEX('İzin Planı'!$M$6:$M$35,25-5)&gt;=('Özet'!$C$6+7*16))),"İ",""))</f>
      </c>
      <c r="T25" s="13">
        <f>IF(INDEX('İzin Planı'!$C$6:$C$35,25-5)="","",IF(OR(AND(N(INDEX('İzin Planı'!$F$6:$F$35,25-5))&gt;0,INDEX('İzin Planı'!$F$6:$F$35,25-5)&lt;=('Özet'!$C$6+7*17)+6,INDEX('İzin Planı'!$G$6:$G$35,25-5)&gt;=('Özet'!$C$6+7*17)),AND(N(INDEX('İzin Planı'!$I$6:$I$35,25-5))&gt;0,INDEX('İzin Planı'!$I$6:$I$35,25-5)&lt;=('Özet'!$C$6+7*17)+6,INDEX('İzin Planı'!$J$6:$J$35,25-5)&gt;=('Özet'!$C$6+7*17)),AND(N(INDEX('İzin Planı'!$L$6:$L$35,25-5))&gt;0,INDEX('İzin Planı'!$L$6:$L$35,25-5)&lt;=('Özet'!$C$6+7*17)+6,INDEX('İzin Planı'!$M$6:$M$35,25-5)&gt;=('Özet'!$C$6+7*17))),"İ",""))</f>
      </c>
      <c r="U25" s="13">
        <f>IF(INDEX('İzin Planı'!$C$6:$C$35,25-5)="","",IF(OR(AND(N(INDEX('İzin Planı'!$F$6:$F$35,25-5))&gt;0,INDEX('İzin Planı'!$F$6:$F$35,25-5)&lt;=('Özet'!$C$6+7*18)+6,INDEX('İzin Planı'!$G$6:$G$35,25-5)&gt;=('Özet'!$C$6+7*18)),AND(N(INDEX('İzin Planı'!$I$6:$I$35,25-5))&gt;0,INDEX('İzin Planı'!$I$6:$I$35,25-5)&lt;=('Özet'!$C$6+7*18)+6,INDEX('İzin Planı'!$J$6:$J$35,25-5)&gt;=('Özet'!$C$6+7*18)),AND(N(INDEX('İzin Planı'!$L$6:$L$35,25-5))&gt;0,INDEX('İzin Planı'!$L$6:$L$35,25-5)&lt;=('Özet'!$C$6+7*18)+6,INDEX('İzin Planı'!$M$6:$M$35,25-5)&gt;=('Özet'!$C$6+7*18))),"İ",""))</f>
      </c>
      <c r="V25" s="13">
        <f>IF(INDEX('İzin Planı'!$C$6:$C$35,25-5)="","",IF(OR(AND(N(INDEX('İzin Planı'!$F$6:$F$35,25-5))&gt;0,INDEX('İzin Planı'!$F$6:$F$35,25-5)&lt;=('Özet'!$C$6+7*19)+6,INDEX('İzin Planı'!$G$6:$G$35,25-5)&gt;=('Özet'!$C$6+7*19)),AND(N(INDEX('İzin Planı'!$I$6:$I$35,25-5))&gt;0,INDEX('İzin Planı'!$I$6:$I$35,25-5)&lt;=('Özet'!$C$6+7*19)+6,INDEX('İzin Planı'!$J$6:$J$35,25-5)&gt;=('Özet'!$C$6+7*19)),AND(N(INDEX('İzin Planı'!$L$6:$L$35,25-5))&gt;0,INDEX('İzin Planı'!$L$6:$L$35,25-5)&lt;=('Özet'!$C$6+7*19)+6,INDEX('İzin Planı'!$M$6:$M$35,25-5)&gt;=('Özet'!$C$6+7*19))),"İ",""))</f>
      </c>
      <c r="W25" s="13">
        <f>IF(INDEX('İzin Planı'!$C$6:$C$35,25-5)="","",IF(OR(AND(N(INDEX('İzin Planı'!$F$6:$F$35,25-5))&gt;0,INDEX('İzin Planı'!$F$6:$F$35,25-5)&lt;=('Özet'!$C$6+7*20)+6,INDEX('İzin Planı'!$G$6:$G$35,25-5)&gt;=('Özet'!$C$6+7*20)),AND(N(INDEX('İzin Planı'!$I$6:$I$35,25-5))&gt;0,INDEX('İzin Planı'!$I$6:$I$35,25-5)&lt;=('Özet'!$C$6+7*20)+6,INDEX('İzin Planı'!$J$6:$J$35,25-5)&gt;=('Özet'!$C$6+7*20)),AND(N(INDEX('İzin Planı'!$L$6:$L$35,25-5))&gt;0,INDEX('İzin Planı'!$L$6:$L$35,25-5)&lt;=('Özet'!$C$6+7*20)+6,INDEX('İzin Planı'!$M$6:$M$35,25-5)&gt;=('Özet'!$C$6+7*20))),"İ",""))</f>
      </c>
      <c r="X25" s="13">
        <f>IF(INDEX('İzin Planı'!$C$6:$C$35,25-5)="","",IF(OR(AND(N(INDEX('İzin Planı'!$F$6:$F$35,25-5))&gt;0,INDEX('İzin Planı'!$F$6:$F$35,25-5)&lt;=('Özet'!$C$6+7*21)+6,INDEX('İzin Planı'!$G$6:$G$35,25-5)&gt;=('Özet'!$C$6+7*21)),AND(N(INDEX('İzin Planı'!$I$6:$I$35,25-5))&gt;0,INDEX('İzin Planı'!$I$6:$I$35,25-5)&lt;=('Özet'!$C$6+7*21)+6,INDEX('İzin Planı'!$J$6:$J$35,25-5)&gt;=('Özet'!$C$6+7*21)),AND(N(INDEX('İzin Planı'!$L$6:$L$35,25-5))&gt;0,INDEX('İzin Planı'!$L$6:$L$35,25-5)&lt;=('Özet'!$C$6+7*21)+6,INDEX('İzin Planı'!$M$6:$M$35,25-5)&gt;=('Özet'!$C$6+7*21))),"İ",""))</f>
      </c>
      <c r="Y25" s="13">
        <f>IF(INDEX('İzin Planı'!$C$6:$C$35,25-5)="","",IF(OR(AND(N(INDEX('İzin Planı'!$F$6:$F$35,25-5))&gt;0,INDEX('İzin Planı'!$F$6:$F$35,25-5)&lt;=('Özet'!$C$6+7*22)+6,INDEX('İzin Planı'!$G$6:$G$35,25-5)&gt;=('Özet'!$C$6+7*22)),AND(N(INDEX('İzin Planı'!$I$6:$I$35,25-5))&gt;0,INDEX('İzin Planı'!$I$6:$I$35,25-5)&lt;=('Özet'!$C$6+7*22)+6,INDEX('İzin Planı'!$J$6:$J$35,25-5)&gt;=('Özet'!$C$6+7*22)),AND(N(INDEX('İzin Planı'!$L$6:$L$35,25-5))&gt;0,INDEX('İzin Planı'!$L$6:$L$35,25-5)&lt;=('Özet'!$C$6+7*22)+6,INDEX('İzin Planı'!$M$6:$M$35,25-5)&gt;=('Özet'!$C$6+7*22))),"İ",""))</f>
      </c>
      <c r="Z25" s="13">
        <f>IF(INDEX('İzin Planı'!$C$6:$C$35,25-5)="","",IF(OR(AND(N(INDEX('İzin Planı'!$F$6:$F$35,25-5))&gt;0,INDEX('İzin Planı'!$F$6:$F$35,25-5)&lt;=('Özet'!$C$6+7*23)+6,INDEX('İzin Planı'!$G$6:$G$35,25-5)&gt;=('Özet'!$C$6+7*23)),AND(N(INDEX('İzin Planı'!$I$6:$I$35,25-5))&gt;0,INDEX('İzin Planı'!$I$6:$I$35,25-5)&lt;=('Özet'!$C$6+7*23)+6,INDEX('İzin Planı'!$J$6:$J$35,25-5)&gt;=('Özet'!$C$6+7*23)),AND(N(INDEX('İzin Planı'!$L$6:$L$35,25-5))&gt;0,INDEX('İzin Planı'!$L$6:$L$35,25-5)&lt;=('Özet'!$C$6+7*23)+6,INDEX('İzin Planı'!$M$6:$M$35,25-5)&gt;=('Özet'!$C$6+7*23))),"İ",""))</f>
      </c>
      <c r="AA25" s="13">
        <f>IF(INDEX('İzin Planı'!$C$6:$C$35,25-5)="","",IF(OR(AND(N(INDEX('İzin Planı'!$F$6:$F$35,25-5))&gt;0,INDEX('İzin Planı'!$F$6:$F$35,25-5)&lt;=('Özet'!$C$6+7*24)+6,INDEX('İzin Planı'!$G$6:$G$35,25-5)&gt;=('Özet'!$C$6+7*24)),AND(N(INDEX('İzin Planı'!$I$6:$I$35,25-5))&gt;0,INDEX('İzin Planı'!$I$6:$I$35,25-5)&lt;=('Özet'!$C$6+7*24)+6,INDEX('İzin Planı'!$J$6:$J$35,25-5)&gt;=('Özet'!$C$6+7*24)),AND(N(INDEX('İzin Planı'!$L$6:$L$35,25-5))&gt;0,INDEX('İzin Planı'!$L$6:$L$35,25-5)&lt;=('Özet'!$C$6+7*24)+6,INDEX('İzin Planı'!$M$6:$M$35,25-5)&gt;=('Özet'!$C$6+7*24))),"İ",""))</f>
      </c>
      <c r="AB25" s="13">
        <f>IF(INDEX('İzin Planı'!$C$6:$C$35,25-5)="","",IF(OR(AND(N(INDEX('İzin Planı'!$F$6:$F$35,25-5))&gt;0,INDEX('İzin Planı'!$F$6:$F$35,25-5)&lt;=('Özet'!$C$6+7*25)+6,INDEX('İzin Planı'!$G$6:$G$35,25-5)&gt;=('Özet'!$C$6+7*25)),AND(N(INDEX('İzin Planı'!$I$6:$I$35,25-5))&gt;0,INDEX('İzin Planı'!$I$6:$I$35,25-5)&lt;=('Özet'!$C$6+7*25)+6,INDEX('İzin Planı'!$J$6:$J$35,25-5)&gt;=('Özet'!$C$6+7*25)),AND(N(INDEX('İzin Planı'!$L$6:$L$35,25-5))&gt;0,INDEX('İzin Planı'!$L$6:$L$35,25-5)&lt;=('Özet'!$C$6+7*25)+6,INDEX('İzin Planı'!$M$6:$M$35,25-5)&gt;=('Özet'!$C$6+7*25))),"İ",""))</f>
      </c>
      <c r="AC25" s="13">
        <f>IF(INDEX('İzin Planı'!$C$6:$C$35,25-5)="","",IF(OR(AND(N(INDEX('İzin Planı'!$F$6:$F$35,25-5))&gt;0,INDEX('İzin Planı'!$F$6:$F$35,25-5)&lt;=('Özet'!$C$6+7*26)+6,INDEX('İzin Planı'!$G$6:$G$35,25-5)&gt;=('Özet'!$C$6+7*26)),AND(N(INDEX('İzin Planı'!$I$6:$I$35,25-5))&gt;0,INDEX('İzin Planı'!$I$6:$I$35,25-5)&lt;=('Özet'!$C$6+7*26)+6,INDEX('İzin Planı'!$J$6:$J$35,25-5)&gt;=('Özet'!$C$6+7*26)),AND(N(INDEX('İzin Planı'!$L$6:$L$35,25-5))&gt;0,INDEX('İzin Planı'!$L$6:$L$35,25-5)&lt;=('Özet'!$C$6+7*26)+6,INDEX('İzin Planı'!$M$6:$M$35,25-5)&gt;=('Özet'!$C$6+7*26))),"İ",""))</f>
      </c>
      <c r="AD25" s="13">
        <f>IF(INDEX('İzin Planı'!$C$6:$C$35,25-5)="","",IF(OR(AND(N(INDEX('İzin Planı'!$F$6:$F$35,25-5))&gt;0,INDEX('İzin Planı'!$F$6:$F$35,25-5)&lt;=('Özet'!$C$6+7*27)+6,INDEX('İzin Planı'!$G$6:$G$35,25-5)&gt;=('Özet'!$C$6+7*27)),AND(N(INDEX('İzin Planı'!$I$6:$I$35,25-5))&gt;0,INDEX('İzin Planı'!$I$6:$I$35,25-5)&lt;=('Özet'!$C$6+7*27)+6,INDEX('İzin Planı'!$J$6:$J$35,25-5)&gt;=('Özet'!$C$6+7*27)),AND(N(INDEX('İzin Planı'!$L$6:$L$35,25-5))&gt;0,INDEX('İzin Planı'!$L$6:$L$35,25-5)&lt;=('Özet'!$C$6+7*27)+6,INDEX('İzin Planı'!$M$6:$M$35,25-5)&gt;=('Özet'!$C$6+7*27))),"İ",""))</f>
      </c>
      <c r="AE25" s="13">
        <f>IF(INDEX('İzin Planı'!$C$6:$C$35,25-5)="","",IF(OR(AND(N(INDEX('İzin Planı'!$F$6:$F$35,25-5))&gt;0,INDEX('İzin Planı'!$F$6:$F$35,25-5)&lt;=('Özet'!$C$6+7*28)+6,INDEX('İzin Planı'!$G$6:$G$35,25-5)&gt;=('Özet'!$C$6+7*28)),AND(N(INDEX('İzin Planı'!$I$6:$I$35,25-5))&gt;0,INDEX('İzin Planı'!$I$6:$I$35,25-5)&lt;=('Özet'!$C$6+7*28)+6,INDEX('İzin Planı'!$J$6:$J$35,25-5)&gt;=('Özet'!$C$6+7*28)),AND(N(INDEX('İzin Planı'!$L$6:$L$35,25-5))&gt;0,INDEX('İzin Planı'!$L$6:$L$35,25-5)&lt;=('Özet'!$C$6+7*28)+6,INDEX('İzin Planı'!$M$6:$M$35,25-5)&gt;=('Özet'!$C$6+7*28))),"İ",""))</f>
      </c>
      <c r="AF25" s="13">
        <f>IF(INDEX('İzin Planı'!$C$6:$C$35,25-5)="","",IF(OR(AND(N(INDEX('İzin Planı'!$F$6:$F$35,25-5))&gt;0,INDEX('İzin Planı'!$F$6:$F$35,25-5)&lt;=('Özet'!$C$6+7*29)+6,INDEX('İzin Planı'!$G$6:$G$35,25-5)&gt;=('Özet'!$C$6+7*29)),AND(N(INDEX('İzin Planı'!$I$6:$I$35,25-5))&gt;0,INDEX('İzin Planı'!$I$6:$I$35,25-5)&lt;=('Özet'!$C$6+7*29)+6,INDEX('İzin Planı'!$J$6:$J$35,25-5)&gt;=('Özet'!$C$6+7*29)),AND(N(INDEX('İzin Planı'!$L$6:$L$35,25-5))&gt;0,INDEX('İzin Planı'!$L$6:$L$35,25-5)&lt;=('Özet'!$C$6+7*29)+6,INDEX('İzin Planı'!$M$6:$M$35,25-5)&gt;=('Özet'!$C$6+7*29))),"İ",""))</f>
      </c>
      <c r="AG25" s="13">
        <f>IF(INDEX('İzin Planı'!$C$6:$C$35,25-5)="","",IF(OR(AND(N(INDEX('İzin Planı'!$F$6:$F$35,25-5))&gt;0,INDEX('İzin Planı'!$F$6:$F$35,25-5)&lt;=('Özet'!$C$6+7*30)+6,INDEX('İzin Planı'!$G$6:$G$35,25-5)&gt;=('Özet'!$C$6+7*30)),AND(N(INDEX('İzin Planı'!$I$6:$I$35,25-5))&gt;0,INDEX('İzin Planı'!$I$6:$I$35,25-5)&lt;=('Özet'!$C$6+7*30)+6,INDEX('İzin Planı'!$J$6:$J$35,25-5)&gt;=('Özet'!$C$6+7*30)),AND(N(INDEX('İzin Planı'!$L$6:$L$35,25-5))&gt;0,INDEX('İzin Planı'!$L$6:$L$35,25-5)&lt;=('Özet'!$C$6+7*30)+6,INDEX('İzin Planı'!$M$6:$M$35,25-5)&gt;=('Özet'!$C$6+7*30))),"İ",""))</f>
      </c>
      <c r="AH25" s="13">
        <f>IF(INDEX('İzin Planı'!$C$6:$C$35,25-5)="","",IF(OR(AND(N(INDEX('İzin Planı'!$F$6:$F$35,25-5))&gt;0,INDEX('İzin Planı'!$F$6:$F$35,25-5)&lt;=('Özet'!$C$6+7*31)+6,INDEX('İzin Planı'!$G$6:$G$35,25-5)&gt;=('Özet'!$C$6+7*31)),AND(N(INDEX('İzin Planı'!$I$6:$I$35,25-5))&gt;0,INDEX('İzin Planı'!$I$6:$I$35,25-5)&lt;=('Özet'!$C$6+7*31)+6,INDEX('İzin Planı'!$J$6:$J$35,25-5)&gt;=('Özet'!$C$6+7*31)),AND(N(INDEX('İzin Planı'!$L$6:$L$35,25-5))&gt;0,INDEX('İzin Planı'!$L$6:$L$35,25-5)&lt;=('Özet'!$C$6+7*31)+6,INDEX('İzin Planı'!$M$6:$M$35,25-5)&gt;=('Özet'!$C$6+7*31))),"İ",""))</f>
      </c>
      <c r="AI25" s="13">
        <f>IF(INDEX('İzin Planı'!$C$6:$C$35,25-5)="","",IF(OR(AND(N(INDEX('İzin Planı'!$F$6:$F$35,25-5))&gt;0,INDEX('İzin Planı'!$F$6:$F$35,25-5)&lt;=('Özet'!$C$6+7*32)+6,INDEX('İzin Planı'!$G$6:$G$35,25-5)&gt;=('Özet'!$C$6+7*32)),AND(N(INDEX('İzin Planı'!$I$6:$I$35,25-5))&gt;0,INDEX('İzin Planı'!$I$6:$I$35,25-5)&lt;=('Özet'!$C$6+7*32)+6,INDEX('İzin Planı'!$J$6:$J$35,25-5)&gt;=('Özet'!$C$6+7*32)),AND(N(INDEX('İzin Planı'!$L$6:$L$35,25-5))&gt;0,INDEX('İzin Planı'!$L$6:$L$35,25-5)&lt;=('Özet'!$C$6+7*32)+6,INDEX('İzin Planı'!$M$6:$M$35,25-5)&gt;=('Özet'!$C$6+7*32))),"İ",""))</f>
      </c>
      <c r="AJ25" s="13">
        <f>IF(INDEX('İzin Planı'!$C$6:$C$35,25-5)="","",IF(OR(AND(N(INDEX('İzin Planı'!$F$6:$F$35,25-5))&gt;0,INDEX('İzin Planı'!$F$6:$F$35,25-5)&lt;=('Özet'!$C$6+7*33)+6,INDEX('İzin Planı'!$G$6:$G$35,25-5)&gt;=('Özet'!$C$6+7*33)),AND(N(INDEX('İzin Planı'!$I$6:$I$35,25-5))&gt;0,INDEX('İzin Planı'!$I$6:$I$35,25-5)&lt;=('Özet'!$C$6+7*33)+6,INDEX('İzin Planı'!$J$6:$J$35,25-5)&gt;=('Özet'!$C$6+7*33)),AND(N(INDEX('İzin Planı'!$L$6:$L$35,25-5))&gt;0,INDEX('İzin Planı'!$L$6:$L$35,25-5)&lt;=('Özet'!$C$6+7*33)+6,INDEX('İzin Planı'!$M$6:$M$35,25-5)&gt;=('Özet'!$C$6+7*33))),"İ",""))</f>
      </c>
      <c r="AK25" s="13">
        <f>IF(INDEX('İzin Planı'!$C$6:$C$35,25-5)="","",IF(OR(AND(N(INDEX('İzin Planı'!$F$6:$F$35,25-5))&gt;0,INDEX('İzin Planı'!$F$6:$F$35,25-5)&lt;=('Özet'!$C$6+7*34)+6,INDEX('İzin Planı'!$G$6:$G$35,25-5)&gt;=('Özet'!$C$6+7*34)),AND(N(INDEX('İzin Planı'!$I$6:$I$35,25-5))&gt;0,INDEX('İzin Planı'!$I$6:$I$35,25-5)&lt;=('Özet'!$C$6+7*34)+6,INDEX('İzin Planı'!$J$6:$J$35,25-5)&gt;=('Özet'!$C$6+7*34)),AND(N(INDEX('İzin Planı'!$L$6:$L$35,25-5))&gt;0,INDEX('İzin Planı'!$L$6:$L$35,25-5)&lt;=('Özet'!$C$6+7*34)+6,INDEX('İzin Planı'!$M$6:$M$35,25-5)&gt;=('Özet'!$C$6+7*34))),"İ",""))</f>
      </c>
      <c r="AL25" s="13">
        <f>IF(INDEX('İzin Planı'!$C$6:$C$35,25-5)="","",IF(OR(AND(N(INDEX('İzin Planı'!$F$6:$F$35,25-5))&gt;0,INDEX('İzin Planı'!$F$6:$F$35,25-5)&lt;=('Özet'!$C$6+7*35)+6,INDEX('İzin Planı'!$G$6:$G$35,25-5)&gt;=('Özet'!$C$6+7*35)),AND(N(INDEX('İzin Planı'!$I$6:$I$35,25-5))&gt;0,INDEX('İzin Planı'!$I$6:$I$35,25-5)&lt;=('Özet'!$C$6+7*35)+6,INDEX('İzin Planı'!$J$6:$J$35,25-5)&gt;=('Özet'!$C$6+7*35)),AND(N(INDEX('İzin Planı'!$L$6:$L$35,25-5))&gt;0,INDEX('İzin Planı'!$L$6:$L$35,25-5)&lt;=('Özet'!$C$6+7*35)+6,INDEX('İzin Planı'!$M$6:$M$35,25-5)&gt;=('Özet'!$C$6+7*35))),"İ",""))</f>
      </c>
      <c r="AM25" s="13">
        <f>IF(INDEX('İzin Planı'!$C$6:$C$35,25-5)="","",IF(OR(AND(N(INDEX('İzin Planı'!$F$6:$F$35,25-5))&gt;0,INDEX('İzin Planı'!$F$6:$F$35,25-5)&lt;=('Özet'!$C$6+7*36)+6,INDEX('İzin Planı'!$G$6:$G$35,25-5)&gt;=('Özet'!$C$6+7*36)),AND(N(INDEX('İzin Planı'!$I$6:$I$35,25-5))&gt;0,INDEX('İzin Planı'!$I$6:$I$35,25-5)&lt;=('Özet'!$C$6+7*36)+6,INDEX('İzin Planı'!$J$6:$J$35,25-5)&gt;=('Özet'!$C$6+7*36)),AND(N(INDEX('İzin Planı'!$L$6:$L$35,25-5))&gt;0,INDEX('İzin Planı'!$L$6:$L$35,25-5)&lt;=('Özet'!$C$6+7*36)+6,INDEX('İzin Planı'!$M$6:$M$35,25-5)&gt;=('Özet'!$C$6+7*36))),"İ",""))</f>
      </c>
      <c r="AN25" s="13">
        <f>IF(INDEX('İzin Planı'!$C$6:$C$35,25-5)="","",IF(OR(AND(N(INDEX('İzin Planı'!$F$6:$F$35,25-5))&gt;0,INDEX('İzin Planı'!$F$6:$F$35,25-5)&lt;=('Özet'!$C$6+7*37)+6,INDEX('İzin Planı'!$G$6:$G$35,25-5)&gt;=('Özet'!$C$6+7*37)),AND(N(INDEX('İzin Planı'!$I$6:$I$35,25-5))&gt;0,INDEX('İzin Planı'!$I$6:$I$35,25-5)&lt;=('Özet'!$C$6+7*37)+6,INDEX('İzin Planı'!$J$6:$J$35,25-5)&gt;=('Özet'!$C$6+7*37)),AND(N(INDEX('İzin Planı'!$L$6:$L$35,25-5))&gt;0,INDEX('İzin Planı'!$L$6:$L$35,25-5)&lt;=('Özet'!$C$6+7*37)+6,INDEX('İzin Planı'!$M$6:$M$35,25-5)&gt;=('Özet'!$C$6+7*37))),"İ",""))</f>
      </c>
      <c r="AO25" s="13">
        <f>IF(INDEX('İzin Planı'!$C$6:$C$35,25-5)="","",IF(OR(AND(N(INDEX('İzin Planı'!$F$6:$F$35,25-5))&gt;0,INDEX('İzin Planı'!$F$6:$F$35,25-5)&lt;=('Özet'!$C$6+7*38)+6,INDEX('İzin Planı'!$G$6:$G$35,25-5)&gt;=('Özet'!$C$6+7*38)),AND(N(INDEX('İzin Planı'!$I$6:$I$35,25-5))&gt;0,INDEX('İzin Planı'!$I$6:$I$35,25-5)&lt;=('Özet'!$C$6+7*38)+6,INDEX('İzin Planı'!$J$6:$J$35,25-5)&gt;=('Özet'!$C$6+7*38)),AND(N(INDEX('İzin Planı'!$L$6:$L$35,25-5))&gt;0,INDEX('İzin Planı'!$L$6:$L$35,25-5)&lt;=('Özet'!$C$6+7*38)+6,INDEX('İzin Planı'!$M$6:$M$35,25-5)&gt;=('Özet'!$C$6+7*38))),"İ",""))</f>
      </c>
      <c r="AP25" s="13">
        <f>IF(INDEX('İzin Planı'!$C$6:$C$35,25-5)="","",IF(OR(AND(N(INDEX('İzin Planı'!$F$6:$F$35,25-5))&gt;0,INDEX('İzin Planı'!$F$6:$F$35,25-5)&lt;=('Özet'!$C$6+7*39)+6,INDEX('İzin Planı'!$G$6:$G$35,25-5)&gt;=('Özet'!$C$6+7*39)),AND(N(INDEX('İzin Planı'!$I$6:$I$35,25-5))&gt;0,INDEX('İzin Planı'!$I$6:$I$35,25-5)&lt;=('Özet'!$C$6+7*39)+6,INDEX('İzin Planı'!$J$6:$J$35,25-5)&gt;=('Özet'!$C$6+7*39)),AND(N(INDEX('İzin Planı'!$L$6:$L$35,25-5))&gt;0,INDEX('İzin Planı'!$L$6:$L$35,25-5)&lt;=('Özet'!$C$6+7*39)+6,INDEX('İzin Planı'!$M$6:$M$35,25-5)&gt;=('Özet'!$C$6+7*39))),"İ",""))</f>
      </c>
      <c r="AQ25" s="13">
        <f>IF(INDEX('İzin Planı'!$C$6:$C$35,25-5)="","",IF(OR(AND(N(INDEX('İzin Planı'!$F$6:$F$35,25-5))&gt;0,INDEX('İzin Planı'!$F$6:$F$35,25-5)&lt;=('Özet'!$C$6+7*40)+6,INDEX('İzin Planı'!$G$6:$G$35,25-5)&gt;=('Özet'!$C$6+7*40)),AND(N(INDEX('İzin Planı'!$I$6:$I$35,25-5))&gt;0,INDEX('İzin Planı'!$I$6:$I$35,25-5)&lt;=('Özet'!$C$6+7*40)+6,INDEX('İzin Planı'!$J$6:$J$35,25-5)&gt;=('Özet'!$C$6+7*40)),AND(N(INDEX('İzin Planı'!$L$6:$L$35,25-5))&gt;0,INDEX('İzin Planı'!$L$6:$L$35,25-5)&lt;=('Özet'!$C$6+7*40)+6,INDEX('İzin Planı'!$M$6:$M$35,25-5)&gt;=('Özet'!$C$6+7*40))),"İ",""))</f>
      </c>
      <c r="AR25" s="13">
        <f>IF(INDEX('İzin Planı'!$C$6:$C$35,25-5)="","",IF(OR(AND(N(INDEX('İzin Planı'!$F$6:$F$35,25-5))&gt;0,INDEX('İzin Planı'!$F$6:$F$35,25-5)&lt;=('Özet'!$C$6+7*41)+6,INDEX('İzin Planı'!$G$6:$G$35,25-5)&gt;=('Özet'!$C$6+7*41)),AND(N(INDEX('İzin Planı'!$I$6:$I$35,25-5))&gt;0,INDEX('İzin Planı'!$I$6:$I$35,25-5)&lt;=('Özet'!$C$6+7*41)+6,INDEX('İzin Planı'!$J$6:$J$35,25-5)&gt;=('Özet'!$C$6+7*41)),AND(N(INDEX('İzin Planı'!$L$6:$L$35,25-5))&gt;0,INDEX('İzin Planı'!$L$6:$L$35,25-5)&lt;=('Özet'!$C$6+7*41)+6,INDEX('İzin Planı'!$M$6:$M$35,25-5)&gt;=('Özet'!$C$6+7*41))),"İ",""))</f>
      </c>
      <c r="AS25" s="13">
        <f>IF(INDEX('İzin Planı'!$C$6:$C$35,25-5)="","",IF(OR(AND(N(INDEX('İzin Planı'!$F$6:$F$35,25-5))&gt;0,INDEX('İzin Planı'!$F$6:$F$35,25-5)&lt;=('Özet'!$C$6+7*42)+6,INDEX('İzin Planı'!$G$6:$G$35,25-5)&gt;=('Özet'!$C$6+7*42)),AND(N(INDEX('İzin Planı'!$I$6:$I$35,25-5))&gt;0,INDEX('İzin Planı'!$I$6:$I$35,25-5)&lt;=('Özet'!$C$6+7*42)+6,INDEX('İzin Planı'!$J$6:$J$35,25-5)&gt;=('Özet'!$C$6+7*42)),AND(N(INDEX('İzin Planı'!$L$6:$L$35,25-5))&gt;0,INDEX('İzin Planı'!$L$6:$L$35,25-5)&lt;=('Özet'!$C$6+7*42)+6,INDEX('İzin Planı'!$M$6:$M$35,25-5)&gt;=('Özet'!$C$6+7*42))),"İ",""))</f>
      </c>
      <c r="AT25" s="13">
        <f>IF(INDEX('İzin Planı'!$C$6:$C$35,25-5)="","",IF(OR(AND(N(INDEX('İzin Planı'!$F$6:$F$35,25-5))&gt;0,INDEX('İzin Planı'!$F$6:$F$35,25-5)&lt;=('Özet'!$C$6+7*43)+6,INDEX('İzin Planı'!$G$6:$G$35,25-5)&gt;=('Özet'!$C$6+7*43)),AND(N(INDEX('İzin Planı'!$I$6:$I$35,25-5))&gt;0,INDEX('İzin Planı'!$I$6:$I$35,25-5)&lt;=('Özet'!$C$6+7*43)+6,INDEX('İzin Planı'!$J$6:$J$35,25-5)&gt;=('Özet'!$C$6+7*43)),AND(N(INDEX('İzin Planı'!$L$6:$L$35,25-5))&gt;0,INDEX('İzin Planı'!$L$6:$L$35,25-5)&lt;=('Özet'!$C$6+7*43)+6,INDEX('İzin Planı'!$M$6:$M$35,25-5)&gt;=('Özet'!$C$6+7*43))),"İ",""))</f>
      </c>
      <c r="AU25" s="13">
        <f>IF(INDEX('İzin Planı'!$C$6:$C$35,25-5)="","",IF(OR(AND(N(INDEX('İzin Planı'!$F$6:$F$35,25-5))&gt;0,INDEX('İzin Planı'!$F$6:$F$35,25-5)&lt;=('Özet'!$C$6+7*44)+6,INDEX('İzin Planı'!$G$6:$G$35,25-5)&gt;=('Özet'!$C$6+7*44)),AND(N(INDEX('İzin Planı'!$I$6:$I$35,25-5))&gt;0,INDEX('İzin Planı'!$I$6:$I$35,25-5)&lt;=('Özet'!$C$6+7*44)+6,INDEX('İzin Planı'!$J$6:$J$35,25-5)&gt;=('Özet'!$C$6+7*44)),AND(N(INDEX('İzin Planı'!$L$6:$L$35,25-5))&gt;0,INDEX('İzin Planı'!$L$6:$L$35,25-5)&lt;=('Özet'!$C$6+7*44)+6,INDEX('İzin Planı'!$M$6:$M$35,25-5)&gt;=('Özet'!$C$6+7*44))),"İ",""))</f>
      </c>
      <c r="AV25" s="13">
        <f>IF(INDEX('İzin Planı'!$C$6:$C$35,25-5)="","",IF(OR(AND(N(INDEX('İzin Planı'!$F$6:$F$35,25-5))&gt;0,INDEX('İzin Planı'!$F$6:$F$35,25-5)&lt;=('Özet'!$C$6+7*45)+6,INDEX('İzin Planı'!$G$6:$G$35,25-5)&gt;=('Özet'!$C$6+7*45)),AND(N(INDEX('İzin Planı'!$I$6:$I$35,25-5))&gt;0,INDEX('İzin Planı'!$I$6:$I$35,25-5)&lt;=('Özet'!$C$6+7*45)+6,INDEX('İzin Planı'!$J$6:$J$35,25-5)&gt;=('Özet'!$C$6+7*45)),AND(N(INDEX('İzin Planı'!$L$6:$L$35,25-5))&gt;0,INDEX('İzin Planı'!$L$6:$L$35,25-5)&lt;=('Özet'!$C$6+7*45)+6,INDEX('İzin Planı'!$M$6:$M$35,25-5)&gt;=('Özet'!$C$6+7*45))),"İ",""))</f>
      </c>
      <c r="AW25" s="13">
        <f>IF(INDEX('İzin Planı'!$C$6:$C$35,25-5)="","",IF(OR(AND(N(INDEX('İzin Planı'!$F$6:$F$35,25-5))&gt;0,INDEX('İzin Planı'!$F$6:$F$35,25-5)&lt;=('Özet'!$C$6+7*46)+6,INDEX('İzin Planı'!$G$6:$G$35,25-5)&gt;=('Özet'!$C$6+7*46)),AND(N(INDEX('İzin Planı'!$I$6:$I$35,25-5))&gt;0,INDEX('İzin Planı'!$I$6:$I$35,25-5)&lt;=('Özet'!$C$6+7*46)+6,INDEX('İzin Planı'!$J$6:$J$35,25-5)&gt;=('Özet'!$C$6+7*46)),AND(N(INDEX('İzin Planı'!$L$6:$L$35,25-5))&gt;0,INDEX('İzin Planı'!$L$6:$L$35,25-5)&lt;=('Özet'!$C$6+7*46)+6,INDEX('İzin Planı'!$M$6:$M$35,25-5)&gt;=('Özet'!$C$6+7*46))),"İ",""))</f>
      </c>
      <c r="AX25" s="13">
        <f>IF(INDEX('İzin Planı'!$C$6:$C$35,25-5)="","",IF(OR(AND(N(INDEX('İzin Planı'!$F$6:$F$35,25-5))&gt;0,INDEX('İzin Planı'!$F$6:$F$35,25-5)&lt;=('Özet'!$C$6+7*47)+6,INDEX('İzin Planı'!$G$6:$G$35,25-5)&gt;=('Özet'!$C$6+7*47)),AND(N(INDEX('İzin Planı'!$I$6:$I$35,25-5))&gt;0,INDEX('İzin Planı'!$I$6:$I$35,25-5)&lt;=('Özet'!$C$6+7*47)+6,INDEX('İzin Planı'!$J$6:$J$35,25-5)&gt;=('Özet'!$C$6+7*47)),AND(N(INDEX('İzin Planı'!$L$6:$L$35,25-5))&gt;0,INDEX('İzin Planı'!$L$6:$L$35,25-5)&lt;=('Özet'!$C$6+7*47)+6,INDEX('İzin Planı'!$M$6:$M$35,25-5)&gt;=('Özet'!$C$6+7*47))),"İ",""))</f>
      </c>
      <c r="AY25" s="13">
        <f>IF(INDEX('İzin Planı'!$C$6:$C$35,25-5)="","",IF(OR(AND(N(INDEX('İzin Planı'!$F$6:$F$35,25-5))&gt;0,INDEX('İzin Planı'!$F$6:$F$35,25-5)&lt;=('Özet'!$C$6+7*48)+6,INDEX('İzin Planı'!$G$6:$G$35,25-5)&gt;=('Özet'!$C$6+7*48)),AND(N(INDEX('İzin Planı'!$I$6:$I$35,25-5))&gt;0,INDEX('İzin Planı'!$I$6:$I$35,25-5)&lt;=('Özet'!$C$6+7*48)+6,INDEX('İzin Planı'!$J$6:$J$35,25-5)&gt;=('Özet'!$C$6+7*48)),AND(N(INDEX('İzin Planı'!$L$6:$L$35,25-5))&gt;0,INDEX('İzin Planı'!$L$6:$L$35,25-5)&lt;=('Özet'!$C$6+7*48)+6,INDEX('İzin Planı'!$M$6:$M$35,25-5)&gt;=('Özet'!$C$6+7*48))),"İ",""))</f>
      </c>
      <c r="AZ25" s="13">
        <f>IF(INDEX('İzin Planı'!$C$6:$C$35,25-5)="","",IF(OR(AND(N(INDEX('İzin Planı'!$F$6:$F$35,25-5))&gt;0,INDEX('İzin Planı'!$F$6:$F$35,25-5)&lt;=('Özet'!$C$6+7*49)+6,INDEX('İzin Planı'!$G$6:$G$35,25-5)&gt;=('Özet'!$C$6+7*49)),AND(N(INDEX('İzin Planı'!$I$6:$I$35,25-5))&gt;0,INDEX('İzin Planı'!$I$6:$I$35,25-5)&lt;=('Özet'!$C$6+7*49)+6,INDEX('İzin Planı'!$J$6:$J$35,25-5)&gt;=('Özet'!$C$6+7*49)),AND(N(INDEX('İzin Planı'!$L$6:$L$35,25-5))&gt;0,INDEX('İzin Planı'!$L$6:$L$35,25-5)&lt;=('Özet'!$C$6+7*49)+6,INDEX('İzin Planı'!$M$6:$M$35,25-5)&gt;=('Özet'!$C$6+7*49))),"İ",""))</f>
      </c>
      <c r="BA25" s="13">
        <f>IF(INDEX('İzin Planı'!$C$6:$C$35,25-5)="","",IF(OR(AND(N(INDEX('İzin Planı'!$F$6:$F$35,25-5))&gt;0,INDEX('İzin Planı'!$F$6:$F$35,25-5)&lt;=('Özet'!$C$6+7*50)+6,INDEX('İzin Planı'!$G$6:$G$35,25-5)&gt;=('Özet'!$C$6+7*50)),AND(N(INDEX('İzin Planı'!$I$6:$I$35,25-5))&gt;0,INDEX('İzin Planı'!$I$6:$I$35,25-5)&lt;=('Özet'!$C$6+7*50)+6,INDEX('İzin Planı'!$J$6:$J$35,25-5)&gt;=('Özet'!$C$6+7*50)),AND(N(INDEX('İzin Planı'!$L$6:$L$35,25-5))&gt;0,INDEX('İzin Planı'!$L$6:$L$35,25-5)&lt;=('Özet'!$C$6+7*50)+6,INDEX('İzin Planı'!$M$6:$M$35,25-5)&gt;=('Özet'!$C$6+7*50))),"İ",""))</f>
      </c>
      <c r="BB25" s="13">
        <f>IF(INDEX('İzin Planı'!$C$6:$C$35,25-5)="","",IF(OR(AND(N(INDEX('İzin Planı'!$F$6:$F$35,25-5))&gt;0,INDEX('İzin Planı'!$F$6:$F$35,25-5)&lt;=('Özet'!$C$6+7*51)+6,INDEX('İzin Planı'!$G$6:$G$35,25-5)&gt;=('Özet'!$C$6+7*51)),AND(N(INDEX('İzin Planı'!$I$6:$I$35,25-5))&gt;0,INDEX('İzin Planı'!$I$6:$I$35,25-5)&lt;=('Özet'!$C$6+7*51)+6,INDEX('İzin Planı'!$J$6:$J$35,25-5)&gt;=('Özet'!$C$6+7*51)),AND(N(INDEX('İzin Planı'!$L$6:$L$35,25-5))&gt;0,INDEX('İzin Planı'!$L$6:$L$35,25-5)&lt;=('Özet'!$C$6+7*51)+6,INDEX('İzin Planı'!$M$6:$M$35,25-5)&gt;=('Özet'!$C$6+7*51))),"İ",""))</f>
      </c>
      <c r="BC25" s="13">
        <f>IF(INDEX('İzin Planı'!$C$6:$C$35,25-5)="","",IF(OR(AND(N(INDEX('İzin Planı'!$F$6:$F$35,25-5))&gt;0,INDEX('İzin Planı'!$F$6:$F$35,25-5)&lt;=('Özet'!$C$6+7*52)+6,INDEX('İzin Planı'!$G$6:$G$35,25-5)&gt;=('Özet'!$C$6+7*52)),AND(N(INDEX('İzin Planı'!$I$6:$I$35,25-5))&gt;0,INDEX('İzin Planı'!$I$6:$I$35,25-5)&lt;=('Özet'!$C$6+7*52)+6,INDEX('İzin Planı'!$J$6:$J$35,25-5)&gt;=('Özet'!$C$6+7*52)),AND(N(INDEX('İzin Planı'!$L$6:$L$35,25-5))&gt;0,INDEX('İzin Planı'!$L$6:$L$35,25-5)&lt;=('Özet'!$C$6+7*52)+6,INDEX('İzin Planı'!$M$6:$M$35,25-5)&gt;=('Özet'!$C$6+7*52))),"İ",""))</f>
      </c>
    </row>
    <row r="26" ht="18" customHeight="1" spans="1:55" x14ac:dyDescent="0.25">
      <c r="A26" s="6">
        <v>21</v>
      </c>
      <c r="B26" s="13">
        <f>IF(INDEX('İzin Planı'!$C$6:$C$35,26-5)="","",INDEX('İzin Planı'!$C$6:$C$35,26-5))</f>
      </c>
      <c r="C26" s="13">
        <f>IF(INDEX('İzin Planı'!$C$6:$C$35,26-5)="","",IF(OR(AND(N(INDEX('İzin Planı'!$F$6:$F$35,26-5))&gt;0,INDEX('İzin Planı'!$F$6:$F$35,26-5)&lt;=('Özet'!$C$6+7*0)+6,INDEX('İzin Planı'!$G$6:$G$35,26-5)&gt;=('Özet'!$C$6+7*0)),AND(N(INDEX('İzin Planı'!$I$6:$I$35,26-5))&gt;0,INDEX('İzin Planı'!$I$6:$I$35,26-5)&lt;=('Özet'!$C$6+7*0)+6,INDEX('İzin Planı'!$J$6:$J$35,26-5)&gt;=('Özet'!$C$6+7*0)),AND(N(INDEX('İzin Planı'!$L$6:$L$35,26-5))&gt;0,INDEX('İzin Planı'!$L$6:$L$35,26-5)&lt;=('Özet'!$C$6+7*0)+6,INDEX('İzin Planı'!$M$6:$M$35,26-5)&gt;=('Özet'!$C$6+7*0))),"İ",""))</f>
      </c>
      <c r="D26" s="13">
        <f>IF(INDEX('İzin Planı'!$C$6:$C$35,26-5)="","",IF(OR(AND(N(INDEX('İzin Planı'!$F$6:$F$35,26-5))&gt;0,INDEX('İzin Planı'!$F$6:$F$35,26-5)&lt;=('Özet'!$C$6+7*1)+6,INDEX('İzin Planı'!$G$6:$G$35,26-5)&gt;=('Özet'!$C$6+7*1)),AND(N(INDEX('İzin Planı'!$I$6:$I$35,26-5))&gt;0,INDEX('İzin Planı'!$I$6:$I$35,26-5)&lt;=('Özet'!$C$6+7*1)+6,INDEX('İzin Planı'!$J$6:$J$35,26-5)&gt;=('Özet'!$C$6+7*1)),AND(N(INDEX('İzin Planı'!$L$6:$L$35,26-5))&gt;0,INDEX('İzin Planı'!$L$6:$L$35,26-5)&lt;=('Özet'!$C$6+7*1)+6,INDEX('İzin Planı'!$M$6:$M$35,26-5)&gt;=('Özet'!$C$6+7*1))),"İ",""))</f>
      </c>
      <c r="E26" s="13">
        <f>IF(INDEX('İzin Planı'!$C$6:$C$35,26-5)="","",IF(OR(AND(N(INDEX('İzin Planı'!$F$6:$F$35,26-5))&gt;0,INDEX('İzin Planı'!$F$6:$F$35,26-5)&lt;=('Özet'!$C$6+7*2)+6,INDEX('İzin Planı'!$G$6:$G$35,26-5)&gt;=('Özet'!$C$6+7*2)),AND(N(INDEX('İzin Planı'!$I$6:$I$35,26-5))&gt;0,INDEX('İzin Planı'!$I$6:$I$35,26-5)&lt;=('Özet'!$C$6+7*2)+6,INDEX('İzin Planı'!$J$6:$J$35,26-5)&gt;=('Özet'!$C$6+7*2)),AND(N(INDEX('İzin Planı'!$L$6:$L$35,26-5))&gt;0,INDEX('İzin Planı'!$L$6:$L$35,26-5)&lt;=('Özet'!$C$6+7*2)+6,INDEX('İzin Planı'!$M$6:$M$35,26-5)&gt;=('Özet'!$C$6+7*2))),"İ",""))</f>
      </c>
      <c r="F26" s="13">
        <f>IF(INDEX('İzin Planı'!$C$6:$C$35,26-5)="","",IF(OR(AND(N(INDEX('İzin Planı'!$F$6:$F$35,26-5))&gt;0,INDEX('İzin Planı'!$F$6:$F$35,26-5)&lt;=('Özet'!$C$6+7*3)+6,INDEX('İzin Planı'!$G$6:$G$35,26-5)&gt;=('Özet'!$C$6+7*3)),AND(N(INDEX('İzin Planı'!$I$6:$I$35,26-5))&gt;0,INDEX('İzin Planı'!$I$6:$I$35,26-5)&lt;=('Özet'!$C$6+7*3)+6,INDEX('İzin Planı'!$J$6:$J$35,26-5)&gt;=('Özet'!$C$6+7*3)),AND(N(INDEX('İzin Planı'!$L$6:$L$35,26-5))&gt;0,INDEX('İzin Planı'!$L$6:$L$35,26-5)&lt;=('Özet'!$C$6+7*3)+6,INDEX('İzin Planı'!$M$6:$M$35,26-5)&gt;=('Özet'!$C$6+7*3))),"İ",""))</f>
      </c>
      <c r="G26" s="13">
        <f>IF(INDEX('İzin Planı'!$C$6:$C$35,26-5)="","",IF(OR(AND(N(INDEX('İzin Planı'!$F$6:$F$35,26-5))&gt;0,INDEX('İzin Planı'!$F$6:$F$35,26-5)&lt;=('Özet'!$C$6+7*4)+6,INDEX('İzin Planı'!$G$6:$G$35,26-5)&gt;=('Özet'!$C$6+7*4)),AND(N(INDEX('İzin Planı'!$I$6:$I$35,26-5))&gt;0,INDEX('İzin Planı'!$I$6:$I$35,26-5)&lt;=('Özet'!$C$6+7*4)+6,INDEX('İzin Planı'!$J$6:$J$35,26-5)&gt;=('Özet'!$C$6+7*4)),AND(N(INDEX('İzin Planı'!$L$6:$L$35,26-5))&gt;0,INDEX('İzin Planı'!$L$6:$L$35,26-5)&lt;=('Özet'!$C$6+7*4)+6,INDEX('İzin Planı'!$M$6:$M$35,26-5)&gt;=('Özet'!$C$6+7*4))),"İ",""))</f>
      </c>
      <c r="H26" s="13">
        <f>IF(INDEX('İzin Planı'!$C$6:$C$35,26-5)="","",IF(OR(AND(N(INDEX('İzin Planı'!$F$6:$F$35,26-5))&gt;0,INDEX('İzin Planı'!$F$6:$F$35,26-5)&lt;=('Özet'!$C$6+7*5)+6,INDEX('İzin Planı'!$G$6:$G$35,26-5)&gt;=('Özet'!$C$6+7*5)),AND(N(INDEX('İzin Planı'!$I$6:$I$35,26-5))&gt;0,INDEX('İzin Planı'!$I$6:$I$35,26-5)&lt;=('Özet'!$C$6+7*5)+6,INDEX('İzin Planı'!$J$6:$J$35,26-5)&gt;=('Özet'!$C$6+7*5)),AND(N(INDEX('İzin Planı'!$L$6:$L$35,26-5))&gt;0,INDEX('İzin Planı'!$L$6:$L$35,26-5)&lt;=('Özet'!$C$6+7*5)+6,INDEX('İzin Planı'!$M$6:$M$35,26-5)&gt;=('Özet'!$C$6+7*5))),"İ",""))</f>
      </c>
      <c r="I26" s="13">
        <f>IF(INDEX('İzin Planı'!$C$6:$C$35,26-5)="","",IF(OR(AND(N(INDEX('İzin Planı'!$F$6:$F$35,26-5))&gt;0,INDEX('İzin Planı'!$F$6:$F$35,26-5)&lt;=('Özet'!$C$6+7*6)+6,INDEX('İzin Planı'!$G$6:$G$35,26-5)&gt;=('Özet'!$C$6+7*6)),AND(N(INDEX('İzin Planı'!$I$6:$I$35,26-5))&gt;0,INDEX('İzin Planı'!$I$6:$I$35,26-5)&lt;=('Özet'!$C$6+7*6)+6,INDEX('İzin Planı'!$J$6:$J$35,26-5)&gt;=('Özet'!$C$6+7*6)),AND(N(INDEX('İzin Planı'!$L$6:$L$35,26-5))&gt;0,INDEX('İzin Planı'!$L$6:$L$35,26-5)&lt;=('Özet'!$C$6+7*6)+6,INDEX('İzin Planı'!$M$6:$M$35,26-5)&gt;=('Özet'!$C$6+7*6))),"İ",""))</f>
      </c>
      <c r="J26" s="13">
        <f>IF(INDEX('İzin Planı'!$C$6:$C$35,26-5)="","",IF(OR(AND(N(INDEX('İzin Planı'!$F$6:$F$35,26-5))&gt;0,INDEX('İzin Planı'!$F$6:$F$35,26-5)&lt;=('Özet'!$C$6+7*7)+6,INDEX('İzin Planı'!$G$6:$G$35,26-5)&gt;=('Özet'!$C$6+7*7)),AND(N(INDEX('İzin Planı'!$I$6:$I$35,26-5))&gt;0,INDEX('İzin Planı'!$I$6:$I$35,26-5)&lt;=('Özet'!$C$6+7*7)+6,INDEX('İzin Planı'!$J$6:$J$35,26-5)&gt;=('Özet'!$C$6+7*7)),AND(N(INDEX('İzin Planı'!$L$6:$L$35,26-5))&gt;0,INDEX('İzin Planı'!$L$6:$L$35,26-5)&lt;=('Özet'!$C$6+7*7)+6,INDEX('İzin Planı'!$M$6:$M$35,26-5)&gt;=('Özet'!$C$6+7*7))),"İ",""))</f>
      </c>
      <c r="K26" s="13">
        <f>IF(INDEX('İzin Planı'!$C$6:$C$35,26-5)="","",IF(OR(AND(N(INDEX('İzin Planı'!$F$6:$F$35,26-5))&gt;0,INDEX('İzin Planı'!$F$6:$F$35,26-5)&lt;=('Özet'!$C$6+7*8)+6,INDEX('İzin Planı'!$G$6:$G$35,26-5)&gt;=('Özet'!$C$6+7*8)),AND(N(INDEX('İzin Planı'!$I$6:$I$35,26-5))&gt;0,INDEX('İzin Planı'!$I$6:$I$35,26-5)&lt;=('Özet'!$C$6+7*8)+6,INDEX('İzin Planı'!$J$6:$J$35,26-5)&gt;=('Özet'!$C$6+7*8)),AND(N(INDEX('İzin Planı'!$L$6:$L$35,26-5))&gt;0,INDEX('İzin Planı'!$L$6:$L$35,26-5)&lt;=('Özet'!$C$6+7*8)+6,INDEX('İzin Planı'!$M$6:$M$35,26-5)&gt;=('Özet'!$C$6+7*8))),"İ",""))</f>
      </c>
      <c r="L26" s="13">
        <f>IF(INDEX('İzin Planı'!$C$6:$C$35,26-5)="","",IF(OR(AND(N(INDEX('İzin Planı'!$F$6:$F$35,26-5))&gt;0,INDEX('İzin Planı'!$F$6:$F$35,26-5)&lt;=('Özet'!$C$6+7*9)+6,INDEX('İzin Planı'!$G$6:$G$35,26-5)&gt;=('Özet'!$C$6+7*9)),AND(N(INDEX('İzin Planı'!$I$6:$I$35,26-5))&gt;0,INDEX('İzin Planı'!$I$6:$I$35,26-5)&lt;=('Özet'!$C$6+7*9)+6,INDEX('İzin Planı'!$J$6:$J$35,26-5)&gt;=('Özet'!$C$6+7*9)),AND(N(INDEX('İzin Planı'!$L$6:$L$35,26-5))&gt;0,INDEX('İzin Planı'!$L$6:$L$35,26-5)&lt;=('Özet'!$C$6+7*9)+6,INDEX('İzin Planı'!$M$6:$M$35,26-5)&gt;=('Özet'!$C$6+7*9))),"İ",""))</f>
      </c>
      <c r="M26" s="13">
        <f>IF(INDEX('İzin Planı'!$C$6:$C$35,26-5)="","",IF(OR(AND(N(INDEX('İzin Planı'!$F$6:$F$35,26-5))&gt;0,INDEX('İzin Planı'!$F$6:$F$35,26-5)&lt;=('Özet'!$C$6+7*10)+6,INDEX('İzin Planı'!$G$6:$G$35,26-5)&gt;=('Özet'!$C$6+7*10)),AND(N(INDEX('İzin Planı'!$I$6:$I$35,26-5))&gt;0,INDEX('İzin Planı'!$I$6:$I$35,26-5)&lt;=('Özet'!$C$6+7*10)+6,INDEX('İzin Planı'!$J$6:$J$35,26-5)&gt;=('Özet'!$C$6+7*10)),AND(N(INDEX('İzin Planı'!$L$6:$L$35,26-5))&gt;0,INDEX('İzin Planı'!$L$6:$L$35,26-5)&lt;=('Özet'!$C$6+7*10)+6,INDEX('İzin Planı'!$M$6:$M$35,26-5)&gt;=('Özet'!$C$6+7*10))),"İ",""))</f>
      </c>
      <c r="N26" s="13">
        <f>IF(INDEX('İzin Planı'!$C$6:$C$35,26-5)="","",IF(OR(AND(N(INDEX('İzin Planı'!$F$6:$F$35,26-5))&gt;0,INDEX('İzin Planı'!$F$6:$F$35,26-5)&lt;=('Özet'!$C$6+7*11)+6,INDEX('İzin Planı'!$G$6:$G$35,26-5)&gt;=('Özet'!$C$6+7*11)),AND(N(INDEX('İzin Planı'!$I$6:$I$35,26-5))&gt;0,INDEX('İzin Planı'!$I$6:$I$35,26-5)&lt;=('Özet'!$C$6+7*11)+6,INDEX('İzin Planı'!$J$6:$J$35,26-5)&gt;=('Özet'!$C$6+7*11)),AND(N(INDEX('İzin Planı'!$L$6:$L$35,26-5))&gt;0,INDEX('İzin Planı'!$L$6:$L$35,26-5)&lt;=('Özet'!$C$6+7*11)+6,INDEX('İzin Planı'!$M$6:$M$35,26-5)&gt;=('Özet'!$C$6+7*11))),"İ",""))</f>
      </c>
      <c r="O26" s="13">
        <f>IF(INDEX('İzin Planı'!$C$6:$C$35,26-5)="","",IF(OR(AND(N(INDEX('İzin Planı'!$F$6:$F$35,26-5))&gt;0,INDEX('İzin Planı'!$F$6:$F$35,26-5)&lt;=('Özet'!$C$6+7*12)+6,INDEX('İzin Planı'!$G$6:$G$35,26-5)&gt;=('Özet'!$C$6+7*12)),AND(N(INDEX('İzin Planı'!$I$6:$I$35,26-5))&gt;0,INDEX('İzin Planı'!$I$6:$I$35,26-5)&lt;=('Özet'!$C$6+7*12)+6,INDEX('İzin Planı'!$J$6:$J$35,26-5)&gt;=('Özet'!$C$6+7*12)),AND(N(INDEX('İzin Planı'!$L$6:$L$35,26-5))&gt;0,INDEX('İzin Planı'!$L$6:$L$35,26-5)&lt;=('Özet'!$C$6+7*12)+6,INDEX('İzin Planı'!$M$6:$M$35,26-5)&gt;=('Özet'!$C$6+7*12))),"İ",""))</f>
      </c>
      <c r="P26" s="13">
        <f>IF(INDEX('İzin Planı'!$C$6:$C$35,26-5)="","",IF(OR(AND(N(INDEX('İzin Planı'!$F$6:$F$35,26-5))&gt;0,INDEX('İzin Planı'!$F$6:$F$35,26-5)&lt;=('Özet'!$C$6+7*13)+6,INDEX('İzin Planı'!$G$6:$G$35,26-5)&gt;=('Özet'!$C$6+7*13)),AND(N(INDEX('İzin Planı'!$I$6:$I$35,26-5))&gt;0,INDEX('İzin Planı'!$I$6:$I$35,26-5)&lt;=('Özet'!$C$6+7*13)+6,INDEX('İzin Planı'!$J$6:$J$35,26-5)&gt;=('Özet'!$C$6+7*13)),AND(N(INDEX('İzin Planı'!$L$6:$L$35,26-5))&gt;0,INDEX('İzin Planı'!$L$6:$L$35,26-5)&lt;=('Özet'!$C$6+7*13)+6,INDEX('İzin Planı'!$M$6:$M$35,26-5)&gt;=('Özet'!$C$6+7*13))),"İ",""))</f>
      </c>
      <c r="Q26" s="13">
        <f>IF(INDEX('İzin Planı'!$C$6:$C$35,26-5)="","",IF(OR(AND(N(INDEX('İzin Planı'!$F$6:$F$35,26-5))&gt;0,INDEX('İzin Planı'!$F$6:$F$35,26-5)&lt;=('Özet'!$C$6+7*14)+6,INDEX('İzin Planı'!$G$6:$G$35,26-5)&gt;=('Özet'!$C$6+7*14)),AND(N(INDEX('İzin Planı'!$I$6:$I$35,26-5))&gt;0,INDEX('İzin Planı'!$I$6:$I$35,26-5)&lt;=('Özet'!$C$6+7*14)+6,INDEX('İzin Planı'!$J$6:$J$35,26-5)&gt;=('Özet'!$C$6+7*14)),AND(N(INDEX('İzin Planı'!$L$6:$L$35,26-5))&gt;0,INDEX('İzin Planı'!$L$6:$L$35,26-5)&lt;=('Özet'!$C$6+7*14)+6,INDEX('İzin Planı'!$M$6:$M$35,26-5)&gt;=('Özet'!$C$6+7*14))),"İ",""))</f>
      </c>
      <c r="R26" s="13">
        <f>IF(INDEX('İzin Planı'!$C$6:$C$35,26-5)="","",IF(OR(AND(N(INDEX('İzin Planı'!$F$6:$F$35,26-5))&gt;0,INDEX('İzin Planı'!$F$6:$F$35,26-5)&lt;=('Özet'!$C$6+7*15)+6,INDEX('İzin Planı'!$G$6:$G$35,26-5)&gt;=('Özet'!$C$6+7*15)),AND(N(INDEX('İzin Planı'!$I$6:$I$35,26-5))&gt;0,INDEX('İzin Planı'!$I$6:$I$35,26-5)&lt;=('Özet'!$C$6+7*15)+6,INDEX('İzin Planı'!$J$6:$J$35,26-5)&gt;=('Özet'!$C$6+7*15)),AND(N(INDEX('İzin Planı'!$L$6:$L$35,26-5))&gt;0,INDEX('İzin Planı'!$L$6:$L$35,26-5)&lt;=('Özet'!$C$6+7*15)+6,INDEX('İzin Planı'!$M$6:$M$35,26-5)&gt;=('Özet'!$C$6+7*15))),"İ",""))</f>
      </c>
      <c r="S26" s="13">
        <f>IF(INDEX('İzin Planı'!$C$6:$C$35,26-5)="","",IF(OR(AND(N(INDEX('İzin Planı'!$F$6:$F$35,26-5))&gt;0,INDEX('İzin Planı'!$F$6:$F$35,26-5)&lt;=('Özet'!$C$6+7*16)+6,INDEX('İzin Planı'!$G$6:$G$35,26-5)&gt;=('Özet'!$C$6+7*16)),AND(N(INDEX('İzin Planı'!$I$6:$I$35,26-5))&gt;0,INDEX('İzin Planı'!$I$6:$I$35,26-5)&lt;=('Özet'!$C$6+7*16)+6,INDEX('İzin Planı'!$J$6:$J$35,26-5)&gt;=('Özet'!$C$6+7*16)),AND(N(INDEX('İzin Planı'!$L$6:$L$35,26-5))&gt;0,INDEX('İzin Planı'!$L$6:$L$35,26-5)&lt;=('Özet'!$C$6+7*16)+6,INDEX('İzin Planı'!$M$6:$M$35,26-5)&gt;=('Özet'!$C$6+7*16))),"İ",""))</f>
      </c>
      <c r="T26" s="13">
        <f>IF(INDEX('İzin Planı'!$C$6:$C$35,26-5)="","",IF(OR(AND(N(INDEX('İzin Planı'!$F$6:$F$35,26-5))&gt;0,INDEX('İzin Planı'!$F$6:$F$35,26-5)&lt;=('Özet'!$C$6+7*17)+6,INDEX('İzin Planı'!$G$6:$G$35,26-5)&gt;=('Özet'!$C$6+7*17)),AND(N(INDEX('İzin Planı'!$I$6:$I$35,26-5))&gt;0,INDEX('İzin Planı'!$I$6:$I$35,26-5)&lt;=('Özet'!$C$6+7*17)+6,INDEX('İzin Planı'!$J$6:$J$35,26-5)&gt;=('Özet'!$C$6+7*17)),AND(N(INDEX('İzin Planı'!$L$6:$L$35,26-5))&gt;0,INDEX('İzin Planı'!$L$6:$L$35,26-5)&lt;=('Özet'!$C$6+7*17)+6,INDEX('İzin Planı'!$M$6:$M$35,26-5)&gt;=('Özet'!$C$6+7*17))),"İ",""))</f>
      </c>
      <c r="U26" s="13">
        <f>IF(INDEX('İzin Planı'!$C$6:$C$35,26-5)="","",IF(OR(AND(N(INDEX('İzin Planı'!$F$6:$F$35,26-5))&gt;0,INDEX('İzin Planı'!$F$6:$F$35,26-5)&lt;=('Özet'!$C$6+7*18)+6,INDEX('İzin Planı'!$G$6:$G$35,26-5)&gt;=('Özet'!$C$6+7*18)),AND(N(INDEX('İzin Planı'!$I$6:$I$35,26-5))&gt;0,INDEX('İzin Planı'!$I$6:$I$35,26-5)&lt;=('Özet'!$C$6+7*18)+6,INDEX('İzin Planı'!$J$6:$J$35,26-5)&gt;=('Özet'!$C$6+7*18)),AND(N(INDEX('İzin Planı'!$L$6:$L$35,26-5))&gt;0,INDEX('İzin Planı'!$L$6:$L$35,26-5)&lt;=('Özet'!$C$6+7*18)+6,INDEX('İzin Planı'!$M$6:$M$35,26-5)&gt;=('Özet'!$C$6+7*18))),"İ",""))</f>
      </c>
      <c r="V26" s="13">
        <f>IF(INDEX('İzin Planı'!$C$6:$C$35,26-5)="","",IF(OR(AND(N(INDEX('İzin Planı'!$F$6:$F$35,26-5))&gt;0,INDEX('İzin Planı'!$F$6:$F$35,26-5)&lt;=('Özet'!$C$6+7*19)+6,INDEX('İzin Planı'!$G$6:$G$35,26-5)&gt;=('Özet'!$C$6+7*19)),AND(N(INDEX('İzin Planı'!$I$6:$I$35,26-5))&gt;0,INDEX('İzin Planı'!$I$6:$I$35,26-5)&lt;=('Özet'!$C$6+7*19)+6,INDEX('İzin Planı'!$J$6:$J$35,26-5)&gt;=('Özet'!$C$6+7*19)),AND(N(INDEX('İzin Planı'!$L$6:$L$35,26-5))&gt;0,INDEX('İzin Planı'!$L$6:$L$35,26-5)&lt;=('Özet'!$C$6+7*19)+6,INDEX('İzin Planı'!$M$6:$M$35,26-5)&gt;=('Özet'!$C$6+7*19))),"İ",""))</f>
      </c>
      <c r="W26" s="13">
        <f>IF(INDEX('İzin Planı'!$C$6:$C$35,26-5)="","",IF(OR(AND(N(INDEX('İzin Planı'!$F$6:$F$35,26-5))&gt;0,INDEX('İzin Planı'!$F$6:$F$35,26-5)&lt;=('Özet'!$C$6+7*20)+6,INDEX('İzin Planı'!$G$6:$G$35,26-5)&gt;=('Özet'!$C$6+7*20)),AND(N(INDEX('İzin Planı'!$I$6:$I$35,26-5))&gt;0,INDEX('İzin Planı'!$I$6:$I$35,26-5)&lt;=('Özet'!$C$6+7*20)+6,INDEX('İzin Planı'!$J$6:$J$35,26-5)&gt;=('Özet'!$C$6+7*20)),AND(N(INDEX('İzin Planı'!$L$6:$L$35,26-5))&gt;0,INDEX('İzin Planı'!$L$6:$L$35,26-5)&lt;=('Özet'!$C$6+7*20)+6,INDEX('İzin Planı'!$M$6:$M$35,26-5)&gt;=('Özet'!$C$6+7*20))),"İ",""))</f>
      </c>
      <c r="X26" s="13">
        <f>IF(INDEX('İzin Planı'!$C$6:$C$35,26-5)="","",IF(OR(AND(N(INDEX('İzin Planı'!$F$6:$F$35,26-5))&gt;0,INDEX('İzin Planı'!$F$6:$F$35,26-5)&lt;=('Özet'!$C$6+7*21)+6,INDEX('İzin Planı'!$G$6:$G$35,26-5)&gt;=('Özet'!$C$6+7*21)),AND(N(INDEX('İzin Planı'!$I$6:$I$35,26-5))&gt;0,INDEX('İzin Planı'!$I$6:$I$35,26-5)&lt;=('Özet'!$C$6+7*21)+6,INDEX('İzin Planı'!$J$6:$J$35,26-5)&gt;=('Özet'!$C$6+7*21)),AND(N(INDEX('İzin Planı'!$L$6:$L$35,26-5))&gt;0,INDEX('İzin Planı'!$L$6:$L$35,26-5)&lt;=('Özet'!$C$6+7*21)+6,INDEX('İzin Planı'!$M$6:$M$35,26-5)&gt;=('Özet'!$C$6+7*21))),"İ",""))</f>
      </c>
      <c r="Y26" s="13">
        <f>IF(INDEX('İzin Planı'!$C$6:$C$35,26-5)="","",IF(OR(AND(N(INDEX('İzin Planı'!$F$6:$F$35,26-5))&gt;0,INDEX('İzin Planı'!$F$6:$F$35,26-5)&lt;=('Özet'!$C$6+7*22)+6,INDEX('İzin Planı'!$G$6:$G$35,26-5)&gt;=('Özet'!$C$6+7*22)),AND(N(INDEX('İzin Planı'!$I$6:$I$35,26-5))&gt;0,INDEX('İzin Planı'!$I$6:$I$35,26-5)&lt;=('Özet'!$C$6+7*22)+6,INDEX('İzin Planı'!$J$6:$J$35,26-5)&gt;=('Özet'!$C$6+7*22)),AND(N(INDEX('İzin Planı'!$L$6:$L$35,26-5))&gt;0,INDEX('İzin Planı'!$L$6:$L$35,26-5)&lt;=('Özet'!$C$6+7*22)+6,INDEX('İzin Planı'!$M$6:$M$35,26-5)&gt;=('Özet'!$C$6+7*22))),"İ",""))</f>
      </c>
      <c r="Z26" s="13">
        <f>IF(INDEX('İzin Planı'!$C$6:$C$35,26-5)="","",IF(OR(AND(N(INDEX('İzin Planı'!$F$6:$F$35,26-5))&gt;0,INDEX('İzin Planı'!$F$6:$F$35,26-5)&lt;=('Özet'!$C$6+7*23)+6,INDEX('İzin Planı'!$G$6:$G$35,26-5)&gt;=('Özet'!$C$6+7*23)),AND(N(INDEX('İzin Planı'!$I$6:$I$35,26-5))&gt;0,INDEX('İzin Planı'!$I$6:$I$35,26-5)&lt;=('Özet'!$C$6+7*23)+6,INDEX('İzin Planı'!$J$6:$J$35,26-5)&gt;=('Özet'!$C$6+7*23)),AND(N(INDEX('İzin Planı'!$L$6:$L$35,26-5))&gt;0,INDEX('İzin Planı'!$L$6:$L$35,26-5)&lt;=('Özet'!$C$6+7*23)+6,INDEX('İzin Planı'!$M$6:$M$35,26-5)&gt;=('Özet'!$C$6+7*23))),"İ",""))</f>
      </c>
      <c r="AA26" s="13">
        <f>IF(INDEX('İzin Planı'!$C$6:$C$35,26-5)="","",IF(OR(AND(N(INDEX('İzin Planı'!$F$6:$F$35,26-5))&gt;0,INDEX('İzin Planı'!$F$6:$F$35,26-5)&lt;=('Özet'!$C$6+7*24)+6,INDEX('İzin Planı'!$G$6:$G$35,26-5)&gt;=('Özet'!$C$6+7*24)),AND(N(INDEX('İzin Planı'!$I$6:$I$35,26-5))&gt;0,INDEX('İzin Planı'!$I$6:$I$35,26-5)&lt;=('Özet'!$C$6+7*24)+6,INDEX('İzin Planı'!$J$6:$J$35,26-5)&gt;=('Özet'!$C$6+7*24)),AND(N(INDEX('İzin Planı'!$L$6:$L$35,26-5))&gt;0,INDEX('İzin Planı'!$L$6:$L$35,26-5)&lt;=('Özet'!$C$6+7*24)+6,INDEX('İzin Planı'!$M$6:$M$35,26-5)&gt;=('Özet'!$C$6+7*24))),"İ",""))</f>
      </c>
      <c r="AB26" s="13">
        <f>IF(INDEX('İzin Planı'!$C$6:$C$35,26-5)="","",IF(OR(AND(N(INDEX('İzin Planı'!$F$6:$F$35,26-5))&gt;0,INDEX('İzin Planı'!$F$6:$F$35,26-5)&lt;=('Özet'!$C$6+7*25)+6,INDEX('İzin Planı'!$G$6:$G$35,26-5)&gt;=('Özet'!$C$6+7*25)),AND(N(INDEX('İzin Planı'!$I$6:$I$35,26-5))&gt;0,INDEX('İzin Planı'!$I$6:$I$35,26-5)&lt;=('Özet'!$C$6+7*25)+6,INDEX('İzin Planı'!$J$6:$J$35,26-5)&gt;=('Özet'!$C$6+7*25)),AND(N(INDEX('İzin Planı'!$L$6:$L$35,26-5))&gt;0,INDEX('İzin Planı'!$L$6:$L$35,26-5)&lt;=('Özet'!$C$6+7*25)+6,INDEX('İzin Planı'!$M$6:$M$35,26-5)&gt;=('Özet'!$C$6+7*25))),"İ",""))</f>
      </c>
      <c r="AC26" s="13">
        <f>IF(INDEX('İzin Planı'!$C$6:$C$35,26-5)="","",IF(OR(AND(N(INDEX('İzin Planı'!$F$6:$F$35,26-5))&gt;0,INDEX('İzin Planı'!$F$6:$F$35,26-5)&lt;=('Özet'!$C$6+7*26)+6,INDEX('İzin Planı'!$G$6:$G$35,26-5)&gt;=('Özet'!$C$6+7*26)),AND(N(INDEX('İzin Planı'!$I$6:$I$35,26-5))&gt;0,INDEX('İzin Planı'!$I$6:$I$35,26-5)&lt;=('Özet'!$C$6+7*26)+6,INDEX('İzin Planı'!$J$6:$J$35,26-5)&gt;=('Özet'!$C$6+7*26)),AND(N(INDEX('İzin Planı'!$L$6:$L$35,26-5))&gt;0,INDEX('İzin Planı'!$L$6:$L$35,26-5)&lt;=('Özet'!$C$6+7*26)+6,INDEX('İzin Planı'!$M$6:$M$35,26-5)&gt;=('Özet'!$C$6+7*26))),"İ",""))</f>
      </c>
      <c r="AD26" s="13">
        <f>IF(INDEX('İzin Planı'!$C$6:$C$35,26-5)="","",IF(OR(AND(N(INDEX('İzin Planı'!$F$6:$F$35,26-5))&gt;0,INDEX('İzin Planı'!$F$6:$F$35,26-5)&lt;=('Özet'!$C$6+7*27)+6,INDEX('İzin Planı'!$G$6:$G$35,26-5)&gt;=('Özet'!$C$6+7*27)),AND(N(INDEX('İzin Planı'!$I$6:$I$35,26-5))&gt;0,INDEX('İzin Planı'!$I$6:$I$35,26-5)&lt;=('Özet'!$C$6+7*27)+6,INDEX('İzin Planı'!$J$6:$J$35,26-5)&gt;=('Özet'!$C$6+7*27)),AND(N(INDEX('İzin Planı'!$L$6:$L$35,26-5))&gt;0,INDEX('İzin Planı'!$L$6:$L$35,26-5)&lt;=('Özet'!$C$6+7*27)+6,INDEX('İzin Planı'!$M$6:$M$35,26-5)&gt;=('Özet'!$C$6+7*27))),"İ",""))</f>
      </c>
      <c r="AE26" s="13">
        <f>IF(INDEX('İzin Planı'!$C$6:$C$35,26-5)="","",IF(OR(AND(N(INDEX('İzin Planı'!$F$6:$F$35,26-5))&gt;0,INDEX('İzin Planı'!$F$6:$F$35,26-5)&lt;=('Özet'!$C$6+7*28)+6,INDEX('İzin Planı'!$G$6:$G$35,26-5)&gt;=('Özet'!$C$6+7*28)),AND(N(INDEX('İzin Planı'!$I$6:$I$35,26-5))&gt;0,INDEX('İzin Planı'!$I$6:$I$35,26-5)&lt;=('Özet'!$C$6+7*28)+6,INDEX('İzin Planı'!$J$6:$J$35,26-5)&gt;=('Özet'!$C$6+7*28)),AND(N(INDEX('İzin Planı'!$L$6:$L$35,26-5))&gt;0,INDEX('İzin Planı'!$L$6:$L$35,26-5)&lt;=('Özet'!$C$6+7*28)+6,INDEX('İzin Planı'!$M$6:$M$35,26-5)&gt;=('Özet'!$C$6+7*28))),"İ",""))</f>
      </c>
      <c r="AF26" s="13">
        <f>IF(INDEX('İzin Planı'!$C$6:$C$35,26-5)="","",IF(OR(AND(N(INDEX('İzin Planı'!$F$6:$F$35,26-5))&gt;0,INDEX('İzin Planı'!$F$6:$F$35,26-5)&lt;=('Özet'!$C$6+7*29)+6,INDEX('İzin Planı'!$G$6:$G$35,26-5)&gt;=('Özet'!$C$6+7*29)),AND(N(INDEX('İzin Planı'!$I$6:$I$35,26-5))&gt;0,INDEX('İzin Planı'!$I$6:$I$35,26-5)&lt;=('Özet'!$C$6+7*29)+6,INDEX('İzin Planı'!$J$6:$J$35,26-5)&gt;=('Özet'!$C$6+7*29)),AND(N(INDEX('İzin Planı'!$L$6:$L$35,26-5))&gt;0,INDEX('İzin Planı'!$L$6:$L$35,26-5)&lt;=('Özet'!$C$6+7*29)+6,INDEX('İzin Planı'!$M$6:$M$35,26-5)&gt;=('Özet'!$C$6+7*29))),"İ",""))</f>
      </c>
      <c r="AG26" s="13">
        <f>IF(INDEX('İzin Planı'!$C$6:$C$35,26-5)="","",IF(OR(AND(N(INDEX('İzin Planı'!$F$6:$F$35,26-5))&gt;0,INDEX('İzin Planı'!$F$6:$F$35,26-5)&lt;=('Özet'!$C$6+7*30)+6,INDEX('İzin Planı'!$G$6:$G$35,26-5)&gt;=('Özet'!$C$6+7*30)),AND(N(INDEX('İzin Planı'!$I$6:$I$35,26-5))&gt;0,INDEX('İzin Planı'!$I$6:$I$35,26-5)&lt;=('Özet'!$C$6+7*30)+6,INDEX('İzin Planı'!$J$6:$J$35,26-5)&gt;=('Özet'!$C$6+7*30)),AND(N(INDEX('İzin Planı'!$L$6:$L$35,26-5))&gt;0,INDEX('İzin Planı'!$L$6:$L$35,26-5)&lt;=('Özet'!$C$6+7*30)+6,INDEX('İzin Planı'!$M$6:$M$35,26-5)&gt;=('Özet'!$C$6+7*30))),"İ",""))</f>
      </c>
      <c r="AH26" s="13">
        <f>IF(INDEX('İzin Planı'!$C$6:$C$35,26-5)="","",IF(OR(AND(N(INDEX('İzin Planı'!$F$6:$F$35,26-5))&gt;0,INDEX('İzin Planı'!$F$6:$F$35,26-5)&lt;=('Özet'!$C$6+7*31)+6,INDEX('İzin Planı'!$G$6:$G$35,26-5)&gt;=('Özet'!$C$6+7*31)),AND(N(INDEX('İzin Planı'!$I$6:$I$35,26-5))&gt;0,INDEX('İzin Planı'!$I$6:$I$35,26-5)&lt;=('Özet'!$C$6+7*31)+6,INDEX('İzin Planı'!$J$6:$J$35,26-5)&gt;=('Özet'!$C$6+7*31)),AND(N(INDEX('İzin Planı'!$L$6:$L$35,26-5))&gt;0,INDEX('İzin Planı'!$L$6:$L$35,26-5)&lt;=('Özet'!$C$6+7*31)+6,INDEX('İzin Planı'!$M$6:$M$35,26-5)&gt;=('Özet'!$C$6+7*31))),"İ",""))</f>
      </c>
      <c r="AI26" s="13">
        <f>IF(INDEX('İzin Planı'!$C$6:$C$35,26-5)="","",IF(OR(AND(N(INDEX('İzin Planı'!$F$6:$F$35,26-5))&gt;0,INDEX('İzin Planı'!$F$6:$F$35,26-5)&lt;=('Özet'!$C$6+7*32)+6,INDEX('İzin Planı'!$G$6:$G$35,26-5)&gt;=('Özet'!$C$6+7*32)),AND(N(INDEX('İzin Planı'!$I$6:$I$35,26-5))&gt;0,INDEX('İzin Planı'!$I$6:$I$35,26-5)&lt;=('Özet'!$C$6+7*32)+6,INDEX('İzin Planı'!$J$6:$J$35,26-5)&gt;=('Özet'!$C$6+7*32)),AND(N(INDEX('İzin Planı'!$L$6:$L$35,26-5))&gt;0,INDEX('İzin Planı'!$L$6:$L$35,26-5)&lt;=('Özet'!$C$6+7*32)+6,INDEX('İzin Planı'!$M$6:$M$35,26-5)&gt;=('Özet'!$C$6+7*32))),"İ",""))</f>
      </c>
      <c r="AJ26" s="13">
        <f>IF(INDEX('İzin Planı'!$C$6:$C$35,26-5)="","",IF(OR(AND(N(INDEX('İzin Planı'!$F$6:$F$35,26-5))&gt;0,INDEX('İzin Planı'!$F$6:$F$35,26-5)&lt;=('Özet'!$C$6+7*33)+6,INDEX('İzin Planı'!$G$6:$G$35,26-5)&gt;=('Özet'!$C$6+7*33)),AND(N(INDEX('İzin Planı'!$I$6:$I$35,26-5))&gt;0,INDEX('İzin Planı'!$I$6:$I$35,26-5)&lt;=('Özet'!$C$6+7*33)+6,INDEX('İzin Planı'!$J$6:$J$35,26-5)&gt;=('Özet'!$C$6+7*33)),AND(N(INDEX('İzin Planı'!$L$6:$L$35,26-5))&gt;0,INDEX('İzin Planı'!$L$6:$L$35,26-5)&lt;=('Özet'!$C$6+7*33)+6,INDEX('İzin Planı'!$M$6:$M$35,26-5)&gt;=('Özet'!$C$6+7*33))),"İ",""))</f>
      </c>
      <c r="AK26" s="13">
        <f>IF(INDEX('İzin Planı'!$C$6:$C$35,26-5)="","",IF(OR(AND(N(INDEX('İzin Planı'!$F$6:$F$35,26-5))&gt;0,INDEX('İzin Planı'!$F$6:$F$35,26-5)&lt;=('Özet'!$C$6+7*34)+6,INDEX('İzin Planı'!$G$6:$G$35,26-5)&gt;=('Özet'!$C$6+7*34)),AND(N(INDEX('İzin Planı'!$I$6:$I$35,26-5))&gt;0,INDEX('İzin Planı'!$I$6:$I$35,26-5)&lt;=('Özet'!$C$6+7*34)+6,INDEX('İzin Planı'!$J$6:$J$35,26-5)&gt;=('Özet'!$C$6+7*34)),AND(N(INDEX('İzin Planı'!$L$6:$L$35,26-5))&gt;0,INDEX('İzin Planı'!$L$6:$L$35,26-5)&lt;=('Özet'!$C$6+7*34)+6,INDEX('İzin Planı'!$M$6:$M$35,26-5)&gt;=('Özet'!$C$6+7*34))),"İ",""))</f>
      </c>
      <c r="AL26" s="13">
        <f>IF(INDEX('İzin Planı'!$C$6:$C$35,26-5)="","",IF(OR(AND(N(INDEX('İzin Planı'!$F$6:$F$35,26-5))&gt;0,INDEX('İzin Planı'!$F$6:$F$35,26-5)&lt;=('Özet'!$C$6+7*35)+6,INDEX('İzin Planı'!$G$6:$G$35,26-5)&gt;=('Özet'!$C$6+7*35)),AND(N(INDEX('İzin Planı'!$I$6:$I$35,26-5))&gt;0,INDEX('İzin Planı'!$I$6:$I$35,26-5)&lt;=('Özet'!$C$6+7*35)+6,INDEX('İzin Planı'!$J$6:$J$35,26-5)&gt;=('Özet'!$C$6+7*35)),AND(N(INDEX('İzin Planı'!$L$6:$L$35,26-5))&gt;0,INDEX('İzin Planı'!$L$6:$L$35,26-5)&lt;=('Özet'!$C$6+7*35)+6,INDEX('İzin Planı'!$M$6:$M$35,26-5)&gt;=('Özet'!$C$6+7*35))),"İ",""))</f>
      </c>
      <c r="AM26" s="13">
        <f>IF(INDEX('İzin Planı'!$C$6:$C$35,26-5)="","",IF(OR(AND(N(INDEX('İzin Planı'!$F$6:$F$35,26-5))&gt;0,INDEX('İzin Planı'!$F$6:$F$35,26-5)&lt;=('Özet'!$C$6+7*36)+6,INDEX('İzin Planı'!$G$6:$G$35,26-5)&gt;=('Özet'!$C$6+7*36)),AND(N(INDEX('İzin Planı'!$I$6:$I$35,26-5))&gt;0,INDEX('İzin Planı'!$I$6:$I$35,26-5)&lt;=('Özet'!$C$6+7*36)+6,INDEX('İzin Planı'!$J$6:$J$35,26-5)&gt;=('Özet'!$C$6+7*36)),AND(N(INDEX('İzin Planı'!$L$6:$L$35,26-5))&gt;0,INDEX('İzin Planı'!$L$6:$L$35,26-5)&lt;=('Özet'!$C$6+7*36)+6,INDEX('İzin Planı'!$M$6:$M$35,26-5)&gt;=('Özet'!$C$6+7*36))),"İ",""))</f>
      </c>
      <c r="AN26" s="13">
        <f>IF(INDEX('İzin Planı'!$C$6:$C$35,26-5)="","",IF(OR(AND(N(INDEX('İzin Planı'!$F$6:$F$35,26-5))&gt;0,INDEX('İzin Planı'!$F$6:$F$35,26-5)&lt;=('Özet'!$C$6+7*37)+6,INDEX('İzin Planı'!$G$6:$G$35,26-5)&gt;=('Özet'!$C$6+7*37)),AND(N(INDEX('İzin Planı'!$I$6:$I$35,26-5))&gt;0,INDEX('İzin Planı'!$I$6:$I$35,26-5)&lt;=('Özet'!$C$6+7*37)+6,INDEX('İzin Planı'!$J$6:$J$35,26-5)&gt;=('Özet'!$C$6+7*37)),AND(N(INDEX('İzin Planı'!$L$6:$L$35,26-5))&gt;0,INDEX('İzin Planı'!$L$6:$L$35,26-5)&lt;=('Özet'!$C$6+7*37)+6,INDEX('İzin Planı'!$M$6:$M$35,26-5)&gt;=('Özet'!$C$6+7*37))),"İ",""))</f>
      </c>
      <c r="AO26" s="13">
        <f>IF(INDEX('İzin Planı'!$C$6:$C$35,26-5)="","",IF(OR(AND(N(INDEX('İzin Planı'!$F$6:$F$35,26-5))&gt;0,INDEX('İzin Planı'!$F$6:$F$35,26-5)&lt;=('Özet'!$C$6+7*38)+6,INDEX('İzin Planı'!$G$6:$G$35,26-5)&gt;=('Özet'!$C$6+7*38)),AND(N(INDEX('İzin Planı'!$I$6:$I$35,26-5))&gt;0,INDEX('İzin Planı'!$I$6:$I$35,26-5)&lt;=('Özet'!$C$6+7*38)+6,INDEX('İzin Planı'!$J$6:$J$35,26-5)&gt;=('Özet'!$C$6+7*38)),AND(N(INDEX('İzin Planı'!$L$6:$L$35,26-5))&gt;0,INDEX('İzin Planı'!$L$6:$L$35,26-5)&lt;=('Özet'!$C$6+7*38)+6,INDEX('İzin Planı'!$M$6:$M$35,26-5)&gt;=('Özet'!$C$6+7*38))),"İ",""))</f>
      </c>
      <c r="AP26" s="13">
        <f>IF(INDEX('İzin Planı'!$C$6:$C$35,26-5)="","",IF(OR(AND(N(INDEX('İzin Planı'!$F$6:$F$35,26-5))&gt;0,INDEX('İzin Planı'!$F$6:$F$35,26-5)&lt;=('Özet'!$C$6+7*39)+6,INDEX('İzin Planı'!$G$6:$G$35,26-5)&gt;=('Özet'!$C$6+7*39)),AND(N(INDEX('İzin Planı'!$I$6:$I$35,26-5))&gt;0,INDEX('İzin Planı'!$I$6:$I$35,26-5)&lt;=('Özet'!$C$6+7*39)+6,INDEX('İzin Planı'!$J$6:$J$35,26-5)&gt;=('Özet'!$C$6+7*39)),AND(N(INDEX('İzin Planı'!$L$6:$L$35,26-5))&gt;0,INDEX('İzin Planı'!$L$6:$L$35,26-5)&lt;=('Özet'!$C$6+7*39)+6,INDEX('İzin Planı'!$M$6:$M$35,26-5)&gt;=('Özet'!$C$6+7*39))),"İ",""))</f>
      </c>
      <c r="AQ26" s="13">
        <f>IF(INDEX('İzin Planı'!$C$6:$C$35,26-5)="","",IF(OR(AND(N(INDEX('İzin Planı'!$F$6:$F$35,26-5))&gt;0,INDEX('İzin Planı'!$F$6:$F$35,26-5)&lt;=('Özet'!$C$6+7*40)+6,INDEX('İzin Planı'!$G$6:$G$35,26-5)&gt;=('Özet'!$C$6+7*40)),AND(N(INDEX('İzin Planı'!$I$6:$I$35,26-5))&gt;0,INDEX('İzin Planı'!$I$6:$I$35,26-5)&lt;=('Özet'!$C$6+7*40)+6,INDEX('İzin Planı'!$J$6:$J$35,26-5)&gt;=('Özet'!$C$6+7*40)),AND(N(INDEX('İzin Planı'!$L$6:$L$35,26-5))&gt;0,INDEX('İzin Planı'!$L$6:$L$35,26-5)&lt;=('Özet'!$C$6+7*40)+6,INDEX('İzin Planı'!$M$6:$M$35,26-5)&gt;=('Özet'!$C$6+7*40))),"İ",""))</f>
      </c>
      <c r="AR26" s="13">
        <f>IF(INDEX('İzin Planı'!$C$6:$C$35,26-5)="","",IF(OR(AND(N(INDEX('İzin Planı'!$F$6:$F$35,26-5))&gt;0,INDEX('İzin Planı'!$F$6:$F$35,26-5)&lt;=('Özet'!$C$6+7*41)+6,INDEX('İzin Planı'!$G$6:$G$35,26-5)&gt;=('Özet'!$C$6+7*41)),AND(N(INDEX('İzin Planı'!$I$6:$I$35,26-5))&gt;0,INDEX('İzin Planı'!$I$6:$I$35,26-5)&lt;=('Özet'!$C$6+7*41)+6,INDEX('İzin Planı'!$J$6:$J$35,26-5)&gt;=('Özet'!$C$6+7*41)),AND(N(INDEX('İzin Planı'!$L$6:$L$35,26-5))&gt;0,INDEX('İzin Planı'!$L$6:$L$35,26-5)&lt;=('Özet'!$C$6+7*41)+6,INDEX('İzin Planı'!$M$6:$M$35,26-5)&gt;=('Özet'!$C$6+7*41))),"İ",""))</f>
      </c>
      <c r="AS26" s="13">
        <f>IF(INDEX('İzin Planı'!$C$6:$C$35,26-5)="","",IF(OR(AND(N(INDEX('İzin Planı'!$F$6:$F$35,26-5))&gt;0,INDEX('İzin Planı'!$F$6:$F$35,26-5)&lt;=('Özet'!$C$6+7*42)+6,INDEX('İzin Planı'!$G$6:$G$35,26-5)&gt;=('Özet'!$C$6+7*42)),AND(N(INDEX('İzin Planı'!$I$6:$I$35,26-5))&gt;0,INDEX('İzin Planı'!$I$6:$I$35,26-5)&lt;=('Özet'!$C$6+7*42)+6,INDEX('İzin Planı'!$J$6:$J$35,26-5)&gt;=('Özet'!$C$6+7*42)),AND(N(INDEX('İzin Planı'!$L$6:$L$35,26-5))&gt;0,INDEX('İzin Planı'!$L$6:$L$35,26-5)&lt;=('Özet'!$C$6+7*42)+6,INDEX('İzin Planı'!$M$6:$M$35,26-5)&gt;=('Özet'!$C$6+7*42))),"İ",""))</f>
      </c>
      <c r="AT26" s="13">
        <f>IF(INDEX('İzin Planı'!$C$6:$C$35,26-5)="","",IF(OR(AND(N(INDEX('İzin Planı'!$F$6:$F$35,26-5))&gt;0,INDEX('İzin Planı'!$F$6:$F$35,26-5)&lt;=('Özet'!$C$6+7*43)+6,INDEX('İzin Planı'!$G$6:$G$35,26-5)&gt;=('Özet'!$C$6+7*43)),AND(N(INDEX('İzin Planı'!$I$6:$I$35,26-5))&gt;0,INDEX('İzin Planı'!$I$6:$I$35,26-5)&lt;=('Özet'!$C$6+7*43)+6,INDEX('İzin Planı'!$J$6:$J$35,26-5)&gt;=('Özet'!$C$6+7*43)),AND(N(INDEX('İzin Planı'!$L$6:$L$35,26-5))&gt;0,INDEX('İzin Planı'!$L$6:$L$35,26-5)&lt;=('Özet'!$C$6+7*43)+6,INDEX('İzin Planı'!$M$6:$M$35,26-5)&gt;=('Özet'!$C$6+7*43))),"İ",""))</f>
      </c>
      <c r="AU26" s="13">
        <f>IF(INDEX('İzin Planı'!$C$6:$C$35,26-5)="","",IF(OR(AND(N(INDEX('İzin Planı'!$F$6:$F$35,26-5))&gt;0,INDEX('İzin Planı'!$F$6:$F$35,26-5)&lt;=('Özet'!$C$6+7*44)+6,INDEX('İzin Planı'!$G$6:$G$35,26-5)&gt;=('Özet'!$C$6+7*44)),AND(N(INDEX('İzin Planı'!$I$6:$I$35,26-5))&gt;0,INDEX('İzin Planı'!$I$6:$I$35,26-5)&lt;=('Özet'!$C$6+7*44)+6,INDEX('İzin Planı'!$J$6:$J$35,26-5)&gt;=('Özet'!$C$6+7*44)),AND(N(INDEX('İzin Planı'!$L$6:$L$35,26-5))&gt;0,INDEX('İzin Planı'!$L$6:$L$35,26-5)&lt;=('Özet'!$C$6+7*44)+6,INDEX('İzin Planı'!$M$6:$M$35,26-5)&gt;=('Özet'!$C$6+7*44))),"İ",""))</f>
      </c>
      <c r="AV26" s="13">
        <f>IF(INDEX('İzin Planı'!$C$6:$C$35,26-5)="","",IF(OR(AND(N(INDEX('İzin Planı'!$F$6:$F$35,26-5))&gt;0,INDEX('İzin Planı'!$F$6:$F$35,26-5)&lt;=('Özet'!$C$6+7*45)+6,INDEX('İzin Planı'!$G$6:$G$35,26-5)&gt;=('Özet'!$C$6+7*45)),AND(N(INDEX('İzin Planı'!$I$6:$I$35,26-5))&gt;0,INDEX('İzin Planı'!$I$6:$I$35,26-5)&lt;=('Özet'!$C$6+7*45)+6,INDEX('İzin Planı'!$J$6:$J$35,26-5)&gt;=('Özet'!$C$6+7*45)),AND(N(INDEX('İzin Planı'!$L$6:$L$35,26-5))&gt;0,INDEX('İzin Planı'!$L$6:$L$35,26-5)&lt;=('Özet'!$C$6+7*45)+6,INDEX('İzin Planı'!$M$6:$M$35,26-5)&gt;=('Özet'!$C$6+7*45))),"İ",""))</f>
      </c>
      <c r="AW26" s="13">
        <f>IF(INDEX('İzin Planı'!$C$6:$C$35,26-5)="","",IF(OR(AND(N(INDEX('İzin Planı'!$F$6:$F$35,26-5))&gt;0,INDEX('İzin Planı'!$F$6:$F$35,26-5)&lt;=('Özet'!$C$6+7*46)+6,INDEX('İzin Planı'!$G$6:$G$35,26-5)&gt;=('Özet'!$C$6+7*46)),AND(N(INDEX('İzin Planı'!$I$6:$I$35,26-5))&gt;0,INDEX('İzin Planı'!$I$6:$I$35,26-5)&lt;=('Özet'!$C$6+7*46)+6,INDEX('İzin Planı'!$J$6:$J$35,26-5)&gt;=('Özet'!$C$6+7*46)),AND(N(INDEX('İzin Planı'!$L$6:$L$35,26-5))&gt;0,INDEX('İzin Planı'!$L$6:$L$35,26-5)&lt;=('Özet'!$C$6+7*46)+6,INDEX('İzin Planı'!$M$6:$M$35,26-5)&gt;=('Özet'!$C$6+7*46))),"İ",""))</f>
      </c>
      <c r="AX26" s="13">
        <f>IF(INDEX('İzin Planı'!$C$6:$C$35,26-5)="","",IF(OR(AND(N(INDEX('İzin Planı'!$F$6:$F$35,26-5))&gt;0,INDEX('İzin Planı'!$F$6:$F$35,26-5)&lt;=('Özet'!$C$6+7*47)+6,INDEX('İzin Planı'!$G$6:$G$35,26-5)&gt;=('Özet'!$C$6+7*47)),AND(N(INDEX('İzin Planı'!$I$6:$I$35,26-5))&gt;0,INDEX('İzin Planı'!$I$6:$I$35,26-5)&lt;=('Özet'!$C$6+7*47)+6,INDEX('İzin Planı'!$J$6:$J$35,26-5)&gt;=('Özet'!$C$6+7*47)),AND(N(INDEX('İzin Planı'!$L$6:$L$35,26-5))&gt;0,INDEX('İzin Planı'!$L$6:$L$35,26-5)&lt;=('Özet'!$C$6+7*47)+6,INDEX('İzin Planı'!$M$6:$M$35,26-5)&gt;=('Özet'!$C$6+7*47))),"İ",""))</f>
      </c>
      <c r="AY26" s="13">
        <f>IF(INDEX('İzin Planı'!$C$6:$C$35,26-5)="","",IF(OR(AND(N(INDEX('İzin Planı'!$F$6:$F$35,26-5))&gt;0,INDEX('İzin Planı'!$F$6:$F$35,26-5)&lt;=('Özet'!$C$6+7*48)+6,INDEX('İzin Planı'!$G$6:$G$35,26-5)&gt;=('Özet'!$C$6+7*48)),AND(N(INDEX('İzin Planı'!$I$6:$I$35,26-5))&gt;0,INDEX('İzin Planı'!$I$6:$I$35,26-5)&lt;=('Özet'!$C$6+7*48)+6,INDEX('İzin Planı'!$J$6:$J$35,26-5)&gt;=('Özet'!$C$6+7*48)),AND(N(INDEX('İzin Planı'!$L$6:$L$35,26-5))&gt;0,INDEX('İzin Planı'!$L$6:$L$35,26-5)&lt;=('Özet'!$C$6+7*48)+6,INDEX('İzin Planı'!$M$6:$M$35,26-5)&gt;=('Özet'!$C$6+7*48))),"İ",""))</f>
      </c>
      <c r="AZ26" s="13">
        <f>IF(INDEX('İzin Planı'!$C$6:$C$35,26-5)="","",IF(OR(AND(N(INDEX('İzin Planı'!$F$6:$F$35,26-5))&gt;0,INDEX('İzin Planı'!$F$6:$F$35,26-5)&lt;=('Özet'!$C$6+7*49)+6,INDEX('İzin Planı'!$G$6:$G$35,26-5)&gt;=('Özet'!$C$6+7*49)),AND(N(INDEX('İzin Planı'!$I$6:$I$35,26-5))&gt;0,INDEX('İzin Planı'!$I$6:$I$35,26-5)&lt;=('Özet'!$C$6+7*49)+6,INDEX('İzin Planı'!$J$6:$J$35,26-5)&gt;=('Özet'!$C$6+7*49)),AND(N(INDEX('İzin Planı'!$L$6:$L$35,26-5))&gt;0,INDEX('İzin Planı'!$L$6:$L$35,26-5)&lt;=('Özet'!$C$6+7*49)+6,INDEX('İzin Planı'!$M$6:$M$35,26-5)&gt;=('Özet'!$C$6+7*49))),"İ",""))</f>
      </c>
      <c r="BA26" s="13">
        <f>IF(INDEX('İzin Planı'!$C$6:$C$35,26-5)="","",IF(OR(AND(N(INDEX('İzin Planı'!$F$6:$F$35,26-5))&gt;0,INDEX('İzin Planı'!$F$6:$F$35,26-5)&lt;=('Özet'!$C$6+7*50)+6,INDEX('İzin Planı'!$G$6:$G$35,26-5)&gt;=('Özet'!$C$6+7*50)),AND(N(INDEX('İzin Planı'!$I$6:$I$35,26-5))&gt;0,INDEX('İzin Planı'!$I$6:$I$35,26-5)&lt;=('Özet'!$C$6+7*50)+6,INDEX('İzin Planı'!$J$6:$J$35,26-5)&gt;=('Özet'!$C$6+7*50)),AND(N(INDEX('İzin Planı'!$L$6:$L$35,26-5))&gt;0,INDEX('İzin Planı'!$L$6:$L$35,26-5)&lt;=('Özet'!$C$6+7*50)+6,INDEX('İzin Planı'!$M$6:$M$35,26-5)&gt;=('Özet'!$C$6+7*50))),"İ",""))</f>
      </c>
      <c r="BB26" s="13">
        <f>IF(INDEX('İzin Planı'!$C$6:$C$35,26-5)="","",IF(OR(AND(N(INDEX('İzin Planı'!$F$6:$F$35,26-5))&gt;0,INDEX('İzin Planı'!$F$6:$F$35,26-5)&lt;=('Özet'!$C$6+7*51)+6,INDEX('İzin Planı'!$G$6:$G$35,26-5)&gt;=('Özet'!$C$6+7*51)),AND(N(INDEX('İzin Planı'!$I$6:$I$35,26-5))&gt;0,INDEX('İzin Planı'!$I$6:$I$35,26-5)&lt;=('Özet'!$C$6+7*51)+6,INDEX('İzin Planı'!$J$6:$J$35,26-5)&gt;=('Özet'!$C$6+7*51)),AND(N(INDEX('İzin Planı'!$L$6:$L$35,26-5))&gt;0,INDEX('İzin Planı'!$L$6:$L$35,26-5)&lt;=('Özet'!$C$6+7*51)+6,INDEX('İzin Planı'!$M$6:$M$35,26-5)&gt;=('Özet'!$C$6+7*51))),"İ",""))</f>
      </c>
      <c r="BC26" s="13">
        <f>IF(INDEX('İzin Planı'!$C$6:$C$35,26-5)="","",IF(OR(AND(N(INDEX('İzin Planı'!$F$6:$F$35,26-5))&gt;0,INDEX('İzin Planı'!$F$6:$F$35,26-5)&lt;=('Özet'!$C$6+7*52)+6,INDEX('İzin Planı'!$G$6:$G$35,26-5)&gt;=('Özet'!$C$6+7*52)),AND(N(INDEX('İzin Planı'!$I$6:$I$35,26-5))&gt;0,INDEX('İzin Planı'!$I$6:$I$35,26-5)&lt;=('Özet'!$C$6+7*52)+6,INDEX('İzin Planı'!$J$6:$J$35,26-5)&gt;=('Özet'!$C$6+7*52)),AND(N(INDEX('İzin Planı'!$L$6:$L$35,26-5))&gt;0,INDEX('İzin Planı'!$L$6:$L$35,26-5)&lt;=('Özet'!$C$6+7*52)+6,INDEX('İzin Planı'!$M$6:$M$35,26-5)&gt;=('Özet'!$C$6+7*52))),"İ",""))</f>
      </c>
    </row>
    <row r="27" ht="18" customHeight="1" spans="1:55" x14ac:dyDescent="0.25">
      <c r="A27" s="6">
        <v>22</v>
      </c>
      <c r="B27" s="13">
        <f>IF(INDEX('İzin Planı'!$C$6:$C$35,27-5)="","",INDEX('İzin Planı'!$C$6:$C$35,27-5))</f>
      </c>
      <c r="C27" s="13">
        <f>IF(INDEX('İzin Planı'!$C$6:$C$35,27-5)="","",IF(OR(AND(N(INDEX('İzin Planı'!$F$6:$F$35,27-5))&gt;0,INDEX('İzin Planı'!$F$6:$F$35,27-5)&lt;=('Özet'!$C$6+7*0)+6,INDEX('İzin Planı'!$G$6:$G$35,27-5)&gt;=('Özet'!$C$6+7*0)),AND(N(INDEX('İzin Planı'!$I$6:$I$35,27-5))&gt;0,INDEX('İzin Planı'!$I$6:$I$35,27-5)&lt;=('Özet'!$C$6+7*0)+6,INDEX('İzin Planı'!$J$6:$J$35,27-5)&gt;=('Özet'!$C$6+7*0)),AND(N(INDEX('İzin Planı'!$L$6:$L$35,27-5))&gt;0,INDEX('İzin Planı'!$L$6:$L$35,27-5)&lt;=('Özet'!$C$6+7*0)+6,INDEX('İzin Planı'!$M$6:$M$35,27-5)&gt;=('Özet'!$C$6+7*0))),"İ",""))</f>
      </c>
      <c r="D27" s="13">
        <f>IF(INDEX('İzin Planı'!$C$6:$C$35,27-5)="","",IF(OR(AND(N(INDEX('İzin Planı'!$F$6:$F$35,27-5))&gt;0,INDEX('İzin Planı'!$F$6:$F$35,27-5)&lt;=('Özet'!$C$6+7*1)+6,INDEX('İzin Planı'!$G$6:$G$35,27-5)&gt;=('Özet'!$C$6+7*1)),AND(N(INDEX('İzin Planı'!$I$6:$I$35,27-5))&gt;0,INDEX('İzin Planı'!$I$6:$I$35,27-5)&lt;=('Özet'!$C$6+7*1)+6,INDEX('İzin Planı'!$J$6:$J$35,27-5)&gt;=('Özet'!$C$6+7*1)),AND(N(INDEX('İzin Planı'!$L$6:$L$35,27-5))&gt;0,INDEX('İzin Planı'!$L$6:$L$35,27-5)&lt;=('Özet'!$C$6+7*1)+6,INDEX('İzin Planı'!$M$6:$M$35,27-5)&gt;=('Özet'!$C$6+7*1))),"İ",""))</f>
      </c>
      <c r="E27" s="13">
        <f>IF(INDEX('İzin Planı'!$C$6:$C$35,27-5)="","",IF(OR(AND(N(INDEX('İzin Planı'!$F$6:$F$35,27-5))&gt;0,INDEX('İzin Planı'!$F$6:$F$35,27-5)&lt;=('Özet'!$C$6+7*2)+6,INDEX('İzin Planı'!$G$6:$G$35,27-5)&gt;=('Özet'!$C$6+7*2)),AND(N(INDEX('İzin Planı'!$I$6:$I$35,27-5))&gt;0,INDEX('İzin Planı'!$I$6:$I$35,27-5)&lt;=('Özet'!$C$6+7*2)+6,INDEX('İzin Planı'!$J$6:$J$35,27-5)&gt;=('Özet'!$C$6+7*2)),AND(N(INDEX('İzin Planı'!$L$6:$L$35,27-5))&gt;0,INDEX('İzin Planı'!$L$6:$L$35,27-5)&lt;=('Özet'!$C$6+7*2)+6,INDEX('İzin Planı'!$M$6:$M$35,27-5)&gt;=('Özet'!$C$6+7*2))),"İ",""))</f>
      </c>
      <c r="F27" s="13">
        <f>IF(INDEX('İzin Planı'!$C$6:$C$35,27-5)="","",IF(OR(AND(N(INDEX('İzin Planı'!$F$6:$F$35,27-5))&gt;0,INDEX('İzin Planı'!$F$6:$F$35,27-5)&lt;=('Özet'!$C$6+7*3)+6,INDEX('İzin Planı'!$G$6:$G$35,27-5)&gt;=('Özet'!$C$6+7*3)),AND(N(INDEX('İzin Planı'!$I$6:$I$35,27-5))&gt;0,INDEX('İzin Planı'!$I$6:$I$35,27-5)&lt;=('Özet'!$C$6+7*3)+6,INDEX('İzin Planı'!$J$6:$J$35,27-5)&gt;=('Özet'!$C$6+7*3)),AND(N(INDEX('İzin Planı'!$L$6:$L$35,27-5))&gt;0,INDEX('İzin Planı'!$L$6:$L$35,27-5)&lt;=('Özet'!$C$6+7*3)+6,INDEX('İzin Planı'!$M$6:$M$35,27-5)&gt;=('Özet'!$C$6+7*3))),"İ",""))</f>
      </c>
      <c r="G27" s="13">
        <f>IF(INDEX('İzin Planı'!$C$6:$C$35,27-5)="","",IF(OR(AND(N(INDEX('İzin Planı'!$F$6:$F$35,27-5))&gt;0,INDEX('İzin Planı'!$F$6:$F$35,27-5)&lt;=('Özet'!$C$6+7*4)+6,INDEX('İzin Planı'!$G$6:$G$35,27-5)&gt;=('Özet'!$C$6+7*4)),AND(N(INDEX('İzin Planı'!$I$6:$I$35,27-5))&gt;0,INDEX('İzin Planı'!$I$6:$I$35,27-5)&lt;=('Özet'!$C$6+7*4)+6,INDEX('İzin Planı'!$J$6:$J$35,27-5)&gt;=('Özet'!$C$6+7*4)),AND(N(INDEX('İzin Planı'!$L$6:$L$35,27-5))&gt;0,INDEX('İzin Planı'!$L$6:$L$35,27-5)&lt;=('Özet'!$C$6+7*4)+6,INDEX('İzin Planı'!$M$6:$M$35,27-5)&gt;=('Özet'!$C$6+7*4))),"İ",""))</f>
      </c>
      <c r="H27" s="13">
        <f>IF(INDEX('İzin Planı'!$C$6:$C$35,27-5)="","",IF(OR(AND(N(INDEX('İzin Planı'!$F$6:$F$35,27-5))&gt;0,INDEX('İzin Planı'!$F$6:$F$35,27-5)&lt;=('Özet'!$C$6+7*5)+6,INDEX('İzin Planı'!$G$6:$G$35,27-5)&gt;=('Özet'!$C$6+7*5)),AND(N(INDEX('İzin Planı'!$I$6:$I$35,27-5))&gt;0,INDEX('İzin Planı'!$I$6:$I$35,27-5)&lt;=('Özet'!$C$6+7*5)+6,INDEX('İzin Planı'!$J$6:$J$35,27-5)&gt;=('Özet'!$C$6+7*5)),AND(N(INDEX('İzin Planı'!$L$6:$L$35,27-5))&gt;0,INDEX('İzin Planı'!$L$6:$L$35,27-5)&lt;=('Özet'!$C$6+7*5)+6,INDEX('İzin Planı'!$M$6:$M$35,27-5)&gt;=('Özet'!$C$6+7*5))),"İ",""))</f>
      </c>
      <c r="I27" s="13">
        <f>IF(INDEX('İzin Planı'!$C$6:$C$35,27-5)="","",IF(OR(AND(N(INDEX('İzin Planı'!$F$6:$F$35,27-5))&gt;0,INDEX('İzin Planı'!$F$6:$F$35,27-5)&lt;=('Özet'!$C$6+7*6)+6,INDEX('İzin Planı'!$G$6:$G$35,27-5)&gt;=('Özet'!$C$6+7*6)),AND(N(INDEX('İzin Planı'!$I$6:$I$35,27-5))&gt;0,INDEX('İzin Planı'!$I$6:$I$35,27-5)&lt;=('Özet'!$C$6+7*6)+6,INDEX('İzin Planı'!$J$6:$J$35,27-5)&gt;=('Özet'!$C$6+7*6)),AND(N(INDEX('İzin Planı'!$L$6:$L$35,27-5))&gt;0,INDEX('İzin Planı'!$L$6:$L$35,27-5)&lt;=('Özet'!$C$6+7*6)+6,INDEX('İzin Planı'!$M$6:$M$35,27-5)&gt;=('Özet'!$C$6+7*6))),"İ",""))</f>
      </c>
      <c r="J27" s="13">
        <f>IF(INDEX('İzin Planı'!$C$6:$C$35,27-5)="","",IF(OR(AND(N(INDEX('İzin Planı'!$F$6:$F$35,27-5))&gt;0,INDEX('İzin Planı'!$F$6:$F$35,27-5)&lt;=('Özet'!$C$6+7*7)+6,INDEX('İzin Planı'!$G$6:$G$35,27-5)&gt;=('Özet'!$C$6+7*7)),AND(N(INDEX('İzin Planı'!$I$6:$I$35,27-5))&gt;0,INDEX('İzin Planı'!$I$6:$I$35,27-5)&lt;=('Özet'!$C$6+7*7)+6,INDEX('İzin Planı'!$J$6:$J$35,27-5)&gt;=('Özet'!$C$6+7*7)),AND(N(INDEX('İzin Planı'!$L$6:$L$35,27-5))&gt;0,INDEX('İzin Planı'!$L$6:$L$35,27-5)&lt;=('Özet'!$C$6+7*7)+6,INDEX('İzin Planı'!$M$6:$M$35,27-5)&gt;=('Özet'!$C$6+7*7))),"İ",""))</f>
      </c>
      <c r="K27" s="13">
        <f>IF(INDEX('İzin Planı'!$C$6:$C$35,27-5)="","",IF(OR(AND(N(INDEX('İzin Planı'!$F$6:$F$35,27-5))&gt;0,INDEX('İzin Planı'!$F$6:$F$35,27-5)&lt;=('Özet'!$C$6+7*8)+6,INDEX('İzin Planı'!$G$6:$G$35,27-5)&gt;=('Özet'!$C$6+7*8)),AND(N(INDEX('İzin Planı'!$I$6:$I$35,27-5))&gt;0,INDEX('İzin Planı'!$I$6:$I$35,27-5)&lt;=('Özet'!$C$6+7*8)+6,INDEX('İzin Planı'!$J$6:$J$35,27-5)&gt;=('Özet'!$C$6+7*8)),AND(N(INDEX('İzin Planı'!$L$6:$L$35,27-5))&gt;0,INDEX('İzin Planı'!$L$6:$L$35,27-5)&lt;=('Özet'!$C$6+7*8)+6,INDEX('İzin Planı'!$M$6:$M$35,27-5)&gt;=('Özet'!$C$6+7*8))),"İ",""))</f>
      </c>
      <c r="L27" s="13">
        <f>IF(INDEX('İzin Planı'!$C$6:$C$35,27-5)="","",IF(OR(AND(N(INDEX('İzin Planı'!$F$6:$F$35,27-5))&gt;0,INDEX('İzin Planı'!$F$6:$F$35,27-5)&lt;=('Özet'!$C$6+7*9)+6,INDEX('İzin Planı'!$G$6:$G$35,27-5)&gt;=('Özet'!$C$6+7*9)),AND(N(INDEX('İzin Planı'!$I$6:$I$35,27-5))&gt;0,INDEX('İzin Planı'!$I$6:$I$35,27-5)&lt;=('Özet'!$C$6+7*9)+6,INDEX('İzin Planı'!$J$6:$J$35,27-5)&gt;=('Özet'!$C$6+7*9)),AND(N(INDEX('İzin Planı'!$L$6:$L$35,27-5))&gt;0,INDEX('İzin Planı'!$L$6:$L$35,27-5)&lt;=('Özet'!$C$6+7*9)+6,INDEX('İzin Planı'!$M$6:$M$35,27-5)&gt;=('Özet'!$C$6+7*9))),"İ",""))</f>
      </c>
      <c r="M27" s="13">
        <f>IF(INDEX('İzin Planı'!$C$6:$C$35,27-5)="","",IF(OR(AND(N(INDEX('İzin Planı'!$F$6:$F$35,27-5))&gt;0,INDEX('İzin Planı'!$F$6:$F$35,27-5)&lt;=('Özet'!$C$6+7*10)+6,INDEX('İzin Planı'!$G$6:$G$35,27-5)&gt;=('Özet'!$C$6+7*10)),AND(N(INDEX('İzin Planı'!$I$6:$I$35,27-5))&gt;0,INDEX('İzin Planı'!$I$6:$I$35,27-5)&lt;=('Özet'!$C$6+7*10)+6,INDEX('İzin Planı'!$J$6:$J$35,27-5)&gt;=('Özet'!$C$6+7*10)),AND(N(INDEX('İzin Planı'!$L$6:$L$35,27-5))&gt;0,INDEX('İzin Planı'!$L$6:$L$35,27-5)&lt;=('Özet'!$C$6+7*10)+6,INDEX('İzin Planı'!$M$6:$M$35,27-5)&gt;=('Özet'!$C$6+7*10))),"İ",""))</f>
      </c>
      <c r="N27" s="13">
        <f>IF(INDEX('İzin Planı'!$C$6:$C$35,27-5)="","",IF(OR(AND(N(INDEX('İzin Planı'!$F$6:$F$35,27-5))&gt;0,INDEX('İzin Planı'!$F$6:$F$35,27-5)&lt;=('Özet'!$C$6+7*11)+6,INDEX('İzin Planı'!$G$6:$G$35,27-5)&gt;=('Özet'!$C$6+7*11)),AND(N(INDEX('İzin Planı'!$I$6:$I$35,27-5))&gt;0,INDEX('İzin Planı'!$I$6:$I$35,27-5)&lt;=('Özet'!$C$6+7*11)+6,INDEX('İzin Planı'!$J$6:$J$35,27-5)&gt;=('Özet'!$C$6+7*11)),AND(N(INDEX('İzin Planı'!$L$6:$L$35,27-5))&gt;0,INDEX('İzin Planı'!$L$6:$L$35,27-5)&lt;=('Özet'!$C$6+7*11)+6,INDEX('İzin Planı'!$M$6:$M$35,27-5)&gt;=('Özet'!$C$6+7*11))),"İ",""))</f>
      </c>
      <c r="O27" s="13">
        <f>IF(INDEX('İzin Planı'!$C$6:$C$35,27-5)="","",IF(OR(AND(N(INDEX('İzin Planı'!$F$6:$F$35,27-5))&gt;0,INDEX('İzin Planı'!$F$6:$F$35,27-5)&lt;=('Özet'!$C$6+7*12)+6,INDEX('İzin Planı'!$G$6:$G$35,27-5)&gt;=('Özet'!$C$6+7*12)),AND(N(INDEX('İzin Planı'!$I$6:$I$35,27-5))&gt;0,INDEX('İzin Planı'!$I$6:$I$35,27-5)&lt;=('Özet'!$C$6+7*12)+6,INDEX('İzin Planı'!$J$6:$J$35,27-5)&gt;=('Özet'!$C$6+7*12)),AND(N(INDEX('İzin Planı'!$L$6:$L$35,27-5))&gt;0,INDEX('İzin Planı'!$L$6:$L$35,27-5)&lt;=('Özet'!$C$6+7*12)+6,INDEX('İzin Planı'!$M$6:$M$35,27-5)&gt;=('Özet'!$C$6+7*12))),"İ",""))</f>
      </c>
      <c r="P27" s="13">
        <f>IF(INDEX('İzin Planı'!$C$6:$C$35,27-5)="","",IF(OR(AND(N(INDEX('İzin Planı'!$F$6:$F$35,27-5))&gt;0,INDEX('İzin Planı'!$F$6:$F$35,27-5)&lt;=('Özet'!$C$6+7*13)+6,INDEX('İzin Planı'!$G$6:$G$35,27-5)&gt;=('Özet'!$C$6+7*13)),AND(N(INDEX('İzin Planı'!$I$6:$I$35,27-5))&gt;0,INDEX('İzin Planı'!$I$6:$I$35,27-5)&lt;=('Özet'!$C$6+7*13)+6,INDEX('İzin Planı'!$J$6:$J$35,27-5)&gt;=('Özet'!$C$6+7*13)),AND(N(INDEX('İzin Planı'!$L$6:$L$35,27-5))&gt;0,INDEX('İzin Planı'!$L$6:$L$35,27-5)&lt;=('Özet'!$C$6+7*13)+6,INDEX('İzin Planı'!$M$6:$M$35,27-5)&gt;=('Özet'!$C$6+7*13))),"İ",""))</f>
      </c>
      <c r="Q27" s="13">
        <f>IF(INDEX('İzin Planı'!$C$6:$C$35,27-5)="","",IF(OR(AND(N(INDEX('İzin Planı'!$F$6:$F$35,27-5))&gt;0,INDEX('İzin Planı'!$F$6:$F$35,27-5)&lt;=('Özet'!$C$6+7*14)+6,INDEX('İzin Planı'!$G$6:$G$35,27-5)&gt;=('Özet'!$C$6+7*14)),AND(N(INDEX('İzin Planı'!$I$6:$I$35,27-5))&gt;0,INDEX('İzin Planı'!$I$6:$I$35,27-5)&lt;=('Özet'!$C$6+7*14)+6,INDEX('İzin Planı'!$J$6:$J$35,27-5)&gt;=('Özet'!$C$6+7*14)),AND(N(INDEX('İzin Planı'!$L$6:$L$35,27-5))&gt;0,INDEX('İzin Planı'!$L$6:$L$35,27-5)&lt;=('Özet'!$C$6+7*14)+6,INDEX('İzin Planı'!$M$6:$M$35,27-5)&gt;=('Özet'!$C$6+7*14))),"İ",""))</f>
      </c>
      <c r="R27" s="13">
        <f>IF(INDEX('İzin Planı'!$C$6:$C$35,27-5)="","",IF(OR(AND(N(INDEX('İzin Planı'!$F$6:$F$35,27-5))&gt;0,INDEX('İzin Planı'!$F$6:$F$35,27-5)&lt;=('Özet'!$C$6+7*15)+6,INDEX('İzin Planı'!$G$6:$G$35,27-5)&gt;=('Özet'!$C$6+7*15)),AND(N(INDEX('İzin Planı'!$I$6:$I$35,27-5))&gt;0,INDEX('İzin Planı'!$I$6:$I$35,27-5)&lt;=('Özet'!$C$6+7*15)+6,INDEX('İzin Planı'!$J$6:$J$35,27-5)&gt;=('Özet'!$C$6+7*15)),AND(N(INDEX('İzin Planı'!$L$6:$L$35,27-5))&gt;0,INDEX('İzin Planı'!$L$6:$L$35,27-5)&lt;=('Özet'!$C$6+7*15)+6,INDEX('İzin Planı'!$M$6:$M$35,27-5)&gt;=('Özet'!$C$6+7*15))),"İ",""))</f>
      </c>
      <c r="S27" s="13">
        <f>IF(INDEX('İzin Planı'!$C$6:$C$35,27-5)="","",IF(OR(AND(N(INDEX('İzin Planı'!$F$6:$F$35,27-5))&gt;0,INDEX('İzin Planı'!$F$6:$F$35,27-5)&lt;=('Özet'!$C$6+7*16)+6,INDEX('İzin Planı'!$G$6:$G$35,27-5)&gt;=('Özet'!$C$6+7*16)),AND(N(INDEX('İzin Planı'!$I$6:$I$35,27-5))&gt;0,INDEX('İzin Planı'!$I$6:$I$35,27-5)&lt;=('Özet'!$C$6+7*16)+6,INDEX('İzin Planı'!$J$6:$J$35,27-5)&gt;=('Özet'!$C$6+7*16)),AND(N(INDEX('İzin Planı'!$L$6:$L$35,27-5))&gt;0,INDEX('İzin Planı'!$L$6:$L$35,27-5)&lt;=('Özet'!$C$6+7*16)+6,INDEX('İzin Planı'!$M$6:$M$35,27-5)&gt;=('Özet'!$C$6+7*16))),"İ",""))</f>
      </c>
      <c r="T27" s="13">
        <f>IF(INDEX('İzin Planı'!$C$6:$C$35,27-5)="","",IF(OR(AND(N(INDEX('İzin Planı'!$F$6:$F$35,27-5))&gt;0,INDEX('İzin Planı'!$F$6:$F$35,27-5)&lt;=('Özet'!$C$6+7*17)+6,INDEX('İzin Planı'!$G$6:$G$35,27-5)&gt;=('Özet'!$C$6+7*17)),AND(N(INDEX('İzin Planı'!$I$6:$I$35,27-5))&gt;0,INDEX('İzin Planı'!$I$6:$I$35,27-5)&lt;=('Özet'!$C$6+7*17)+6,INDEX('İzin Planı'!$J$6:$J$35,27-5)&gt;=('Özet'!$C$6+7*17)),AND(N(INDEX('İzin Planı'!$L$6:$L$35,27-5))&gt;0,INDEX('İzin Planı'!$L$6:$L$35,27-5)&lt;=('Özet'!$C$6+7*17)+6,INDEX('İzin Planı'!$M$6:$M$35,27-5)&gt;=('Özet'!$C$6+7*17))),"İ",""))</f>
      </c>
      <c r="U27" s="13">
        <f>IF(INDEX('İzin Planı'!$C$6:$C$35,27-5)="","",IF(OR(AND(N(INDEX('İzin Planı'!$F$6:$F$35,27-5))&gt;0,INDEX('İzin Planı'!$F$6:$F$35,27-5)&lt;=('Özet'!$C$6+7*18)+6,INDEX('İzin Planı'!$G$6:$G$35,27-5)&gt;=('Özet'!$C$6+7*18)),AND(N(INDEX('İzin Planı'!$I$6:$I$35,27-5))&gt;0,INDEX('İzin Planı'!$I$6:$I$35,27-5)&lt;=('Özet'!$C$6+7*18)+6,INDEX('İzin Planı'!$J$6:$J$35,27-5)&gt;=('Özet'!$C$6+7*18)),AND(N(INDEX('İzin Planı'!$L$6:$L$35,27-5))&gt;0,INDEX('İzin Planı'!$L$6:$L$35,27-5)&lt;=('Özet'!$C$6+7*18)+6,INDEX('İzin Planı'!$M$6:$M$35,27-5)&gt;=('Özet'!$C$6+7*18))),"İ",""))</f>
      </c>
      <c r="V27" s="13">
        <f>IF(INDEX('İzin Planı'!$C$6:$C$35,27-5)="","",IF(OR(AND(N(INDEX('İzin Planı'!$F$6:$F$35,27-5))&gt;0,INDEX('İzin Planı'!$F$6:$F$35,27-5)&lt;=('Özet'!$C$6+7*19)+6,INDEX('İzin Planı'!$G$6:$G$35,27-5)&gt;=('Özet'!$C$6+7*19)),AND(N(INDEX('İzin Planı'!$I$6:$I$35,27-5))&gt;0,INDEX('İzin Planı'!$I$6:$I$35,27-5)&lt;=('Özet'!$C$6+7*19)+6,INDEX('İzin Planı'!$J$6:$J$35,27-5)&gt;=('Özet'!$C$6+7*19)),AND(N(INDEX('İzin Planı'!$L$6:$L$35,27-5))&gt;0,INDEX('İzin Planı'!$L$6:$L$35,27-5)&lt;=('Özet'!$C$6+7*19)+6,INDEX('İzin Planı'!$M$6:$M$35,27-5)&gt;=('Özet'!$C$6+7*19))),"İ",""))</f>
      </c>
      <c r="W27" s="13">
        <f>IF(INDEX('İzin Planı'!$C$6:$C$35,27-5)="","",IF(OR(AND(N(INDEX('İzin Planı'!$F$6:$F$35,27-5))&gt;0,INDEX('İzin Planı'!$F$6:$F$35,27-5)&lt;=('Özet'!$C$6+7*20)+6,INDEX('İzin Planı'!$G$6:$G$35,27-5)&gt;=('Özet'!$C$6+7*20)),AND(N(INDEX('İzin Planı'!$I$6:$I$35,27-5))&gt;0,INDEX('İzin Planı'!$I$6:$I$35,27-5)&lt;=('Özet'!$C$6+7*20)+6,INDEX('İzin Planı'!$J$6:$J$35,27-5)&gt;=('Özet'!$C$6+7*20)),AND(N(INDEX('İzin Planı'!$L$6:$L$35,27-5))&gt;0,INDEX('İzin Planı'!$L$6:$L$35,27-5)&lt;=('Özet'!$C$6+7*20)+6,INDEX('İzin Planı'!$M$6:$M$35,27-5)&gt;=('Özet'!$C$6+7*20))),"İ",""))</f>
      </c>
      <c r="X27" s="13">
        <f>IF(INDEX('İzin Planı'!$C$6:$C$35,27-5)="","",IF(OR(AND(N(INDEX('İzin Planı'!$F$6:$F$35,27-5))&gt;0,INDEX('İzin Planı'!$F$6:$F$35,27-5)&lt;=('Özet'!$C$6+7*21)+6,INDEX('İzin Planı'!$G$6:$G$35,27-5)&gt;=('Özet'!$C$6+7*21)),AND(N(INDEX('İzin Planı'!$I$6:$I$35,27-5))&gt;0,INDEX('İzin Planı'!$I$6:$I$35,27-5)&lt;=('Özet'!$C$6+7*21)+6,INDEX('İzin Planı'!$J$6:$J$35,27-5)&gt;=('Özet'!$C$6+7*21)),AND(N(INDEX('İzin Planı'!$L$6:$L$35,27-5))&gt;0,INDEX('İzin Planı'!$L$6:$L$35,27-5)&lt;=('Özet'!$C$6+7*21)+6,INDEX('İzin Planı'!$M$6:$M$35,27-5)&gt;=('Özet'!$C$6+7*21))),"İ",""))</f>
      </c>
      <c r="Y27" s="13">
        <f>IF(INDEX('İzin Planı'!$C$6:$C$35,27-5)="","",IF(OR(AND(N(INDEX('İzin Planı'!$F$6:$F$35,27-5))&gt;0,INDEX('İzin Planı'!$F$6:$F$35,27-5)&lt;=('Özet'!$C$6+7*22)+6,INDEX('İzin Planı'!$G$6:$G$35,27-5)&gt;=('Özet'!$C$6+7*22)),AND(N(INDEX('İzin Planı'!$I$6:$I$35,27-5))&gt;0,INDEX('İzin Planı'!$I$6:$I$35,27-5)&lt;=('Özet'!$C$6+7*22)+6,INDEX('İzin Planı'!$J$6:$J$35,27-5)&gt;=('Özet'!$C$6+7*22)),AND(N(INDEX('İzin Planı'!$L$6:$L$35,27-5))&gt;0,INDEX('İzin Planı'!$L$6:$L$35,27-5)&lt;=('Özet'!$C$6+7*22)+6,INDEX('İzin Planı'!$M$6:$M$35,27-5)&gt;=('Özet'!$C$6+7*22))),"İ",""))</f>
      </c>
      <c r="Z27" s="13">
        <f>IF(INDEX('İzin Planı'!$C$6:$C$35,27-5)="","",IF(OR(AND(N(INDEX('İzin Planı'!$F$6:$F$35,27-5))&gt;0,INDEX('İzin Planı'!$F$6:$F$35,27-5)&lt;=('Özet'!$C$6+7*23)+6,INDEX('İzin Planı'!$G$6:$G$35,27-5)&gt;=('Özet'!$C$6+7*23)),AND(N(INDEX('İzin Planı'!$I$6:$I$35,27-5))&gt;0,INDEX('İzin Planı'!$I$6:$I$35,27-5)&lt;=('Özet'!$C$6+7*23)+6,INDEX('İzin Planı'!$J$6:$J$35,27-5)&gt;=('Özet'!$C$6+7*23)),AND(N(INDEX('İzin Planı'!$L$6:$L$35,27-5))&gt;0,INDEX('İzin Planı'!$L$6:$L$35,27-5)&lt;=('Özet'!$C$6+7*23)+6,INDEX('İzin Planı'!$M$6:$M$35,27-5)&gt;=('Özet'!$C$6+7*23))),"İ",""))</f>
      </c>
      <c r="AA27" s="13">
        <f>IF(INDEX('İzin Planı'!$C$6:$C$35,27-5)="","",IF(OR(AND(N(INDEX('İzin Planı'!$F$6:$F$35,27-5))&gt;0,INDEX('İzin Planı'!$F$6:$F$35,27-5)&lt;=('Özet'!$C$6+7*24)+6,INDEX('İzin Planı'!$G$6:$G$35,27-5)&gt;=('Özet'!$C$6+7*24)),AND(N(INDEX('İzin Planı'!$I$6:$I$35,27-5))&gt;0,INDEX('İzin Planı'!$I$6:$I$35,27-5)&lt;=('Özet'!$C$6+7*24)+6,INDEX('İzin Planı'!$J$6:$J$35,27-5)&gt;=('Özet'!$C$6+7*24)),AND(N(INDEX('İzin Planı'!$L$6:$L$35,27-5))&gt;0,INDEX('İzin Planı'!$L$6:$L$35,27-5)&lt;=('Özet'!$C$6+7*24)+6,INDEX('İzin Planı'!$M$6:$M$35,27-5)&gt;=('Özet'!$C$6+7*24))),"İ",""))</f>
      </c>
      <c r="AB27" s="13">
        <f>IF(INDEX('İzin Planı'!$C$6:$C$35,27-5)="","",IF(OR(AND(N(INDEX('İzin Planı'!$F$6:$F$35,27-5))&gt;0,INDEX('İzin Planı'!$F$6:$F$35,27-5)&lt;=('Özet'!$C$6+7*25)+6,INDEX('İzin Planı'!$G$6:$G$35,27-5)&gt;=('Özet'!$C$6+7*25)),AND(N(INDEX('İzin Planı'!$I$6:$I$35,27-5))&gt;0,INDEX('İzin Planı'!$I$6:$I$35,27-5)&lt;=('Özet'!$C$6+7*25)+6,INDEX('İzin Planı'!$J$6:$J$35,27-5)&gt;=('Özet'!$C$6+7*25)),AND(N(INDEX('İzin Planı'!$L$6:$L$35,27-5))&gt;0,INDEX('İzin Planı'!$L$6:$L$35,27-5)&lt;=('Özet'!$C$6+7*25)+6,INDEX('İzin Planı'!$M$6:$M$35,27-5)&gt;=('Özet'!$C$6+7*25))),"İ",""))</f>
      </c>
      <c r="AC27" s="13">
        <f>IF(INDEX('İzin Planı'!$C$6:$C$35,27-5)="","",IF(OR(AND(N(INDEX('İzin Planı'!$F$6:$F$35,27-5))&gt;0,INDEX('İzin Planı'!$F$6:$F$35,27-5)&lt;=('Özet'!$C$6+7*26)+6,INDEX('İzin Planı'!$G$6:$G$35,27-5)&gt;=('Özet'!$C$6+7*26)),AND(N(INDEX('İzin Planı'!$I$6:$I$35,27-5))&gt;0,INDEX('İzin Planı'!$I$6:$I$35,27-5)&lt;=('Özet'!$C$6+7*26)+6,INDEX('İzin Planı'!$J$6:$J$35,27-5)&gt;=('Özet'!$C$6+7*26)),AND(N(INDEX('İzin Planı'!$L$6:$L$35,27-5))&gt;0,INDEX('İzin Planı'!$L$6:$L$35,27-5)&lt;=('Özet'!$C$6+7*26)+6,INDEX('İzin Planı'!$M$6:$M$35,27-5)&gt;=('Özet'!$C$6+7*26))),"İ",""))</f>
      </c>
      <c r="AD27" s="13">
        <f>IF(INDEX('İzin Planı'!$C$6:$C$35,27-5)="","",IF(OR(AND(N(INDEX('İzin Planı'!$F$6:$F$35,27-5))&gt;0,INDEX('İzin Planı'!$F$6:$F$35,27-5)&lt;=('Özet'!$C$6+7*27)+6,INDEX('İzin Planı'!$G$6:$G$35,27-5)&gt;=('Özet'!$C$6+7*27)),AND(N(INDEX('İzin Planı'!$I$6:$I$35,27-5))&gt;0,INDEX('İzin Planı'!$I$6:$I$35,27-5)&lt;=('Özet'!$C$6+7*27)+6,INDEX('İzin Planı'!$J$6:$J$35,27-5)&gt;=('Özet'!$C$6+7*27)),AND(N(INDEX('İzin Planı'!$L$6:$L$35,27-5))&gt;0,INDEX('İzin Planı'!$L$6:$L$35,27-5)&lt;=('Özet'!$C$6+7*27)+6,INDEX('İzin Planı'!$M$6:$M$35,27-5)&gt;=('Özet'!$C$6+7*27))),"İ",""))</f>
      </c>
      <c r="AE27" s="13">
        <f>IF(INDEX('İzin Planı'!$C$6:$C$35,27-5)="","",IF(OR(AND(N(INDEX('İzin Planı'!$F$6:$F$35,27-5))&gt;0,INDEX('İzin Planı'!$F$6:$F$35,27-5)&lt;=('Özet'!$C$6+7*28)+6,INDEX('İzin Planı'!$G$6:$G$35,27-5)&gt;=('Özet'!$C$6+7*28)),AND(N(INDEX('İzin Planı'!$I$6:$I$35,27-5))&gt;0,INDEX('İzin Planı'!$I$6:$I$35,27-5)&lt;=('Özet'!$C$6+7*28)+6,INDEX('İzin Planı'!$J$6:$J$35,27-5)&gt;=('Özet'!$C$6+7*28)),AND(N(INDEX('İzin Planı'!$L$6:$L$35,27-5))&gt;0,INDEX('İzin Planı'!$L$6:$L$35,27-5)&lt;=('Özet'!$C$6+7*28)+6,INDEX('İzin Planı'!$M$6:$M$35,27-5)&gt;=('Özet'!$C$6+7*28))),"İ",""))</f>
      </c>
      <c r="AF27" s="13">
        <f>IF(INDEX('İzin Planı'!$C$6:$C$35,27-5)="","",IF(OR(AND(N(INDEX('İzin Planı'!$F$6:$F$35,27-5))&gt;0,INDEX('İzin Planı'!$F$6:$F$35,27-5)&lt;=('Özet'!$C$6+7*29)+6,INDEX('İzin Planı'!$G$6:$G$35,27-5)&gt;=('Özet'!$C$6+7*29)),AND(N(INDEX('İzin Planı'!$I$6:$I$35,27-5))&gt;0,INDEX('İzin Planı'!$I$6:$I$35,27-5)&lt;=('Özet'!$C$6+7*29)+6,INDEX('İzin Planı'!$J$6:$J$35,27-5)&gt;=('Özet'!$C$6+7*29)),AND(N(INDEX('İzin Planı'!$L$6:$L$35,27-5))&gt;0,INDEX('İzin Planı'!$L$6:$L$35,27-5)&lt;=('Özet'!$C$6+7*29)+6,INDEX('İzin Planı'!$M$6:$M$35,27-5)&gt;=('Özet'!$C$6+7*29))),"İ",""))</f>
      </c>
      <c r="AG27" s="13">
        <f>IF(INDEX('İzin Planı'!$C$6:$C$35,27-5)="","",IF(OR(AND(N(INDEX('İzin Planı'!$F$6:$F$35,27-5))&gt;0,INDEX('İzin Planı'!$F$6:$F$35,27-5)&lt;=('Özet'!$C$6+7*30)+6,INDEX('İzin Planı'!$G$6:$G$35,27-5)&gt;=('Özet'!$C$6+7*30)),AND(N(INDEX('İzin Planı'!$I$6:$I$35,27-5))&gt;0,INDEX('İzin Planı'!$I$6:$I$35,27-5)&lt;=('Özet'!$C$6+7*30)+6,INDEX('İzin Planı'!$J$6:$J$35,27-5)&gt;=('Özet'!$C$6+7*30)),AND(N(INDEX('İzin Planı'!$L$6:$L$35,27-5))&gt;0,INDEX('İzin Planı'!$L$6:$L$35,27-5)&lt;=('Özet'!$C$6+7*30)+6,INDEX('İzin Planı'!$M$6:$M$35,27-5)&gt;=('Özet'!$C$6+7*30))),"İ",""))</f>
      </c>
      <c r="AH27" s="13">
        <f>IF(INDEX('İzin Planı'!$C$6:$C$35,27-5)="","",IF(OR(AND(N(INDEX('İzin Planı'!$F$6:$F$35,27-5))&gt;0,INDEX('İzin Planı'!$F$6:$F$35,27-5)&lt;=('Özet'!$C$6+7*31)+6,INDEX('İzin Planı'!$G$6:$G$35,27-5)&gt;=('Özet'!$C$6+7*31)),AND(N(INDEX('İzin Planı'!$I$6:$I$35,27-5))&gt;0,INDEX('İzin Planı'!$I$6:$I$35,27-5)&lt;=('Özet'!$C$6+7*31)+6,INDEX('İzin Planı'!$J$6:$J$35,27-5)&gt;=('Özet'!$C$6+7*31)),AND(N(INDEX('İzin Planı'!$L$6:$L$35,27-5))&gt;0,INDEX('İzin Planı'!$L$6:$L$35,27-5)&lt;=('Özet'!$C$6+7*31)+6,INDEX('İzin Planı'!$M$6:$M$35,27-5)&gt;=('Özet'!$C$6+7*31))),"İ",""))</f>
      </c>
      <c r="AI27" s="13">
        <f>IF(INDEX('İzin Planı'!$C$6:$C$35,27-5)="","",IF(OR(AND(N(INDEX('İzin Planı'!$F$6:$F$35,27-5))&gt;0,INDEX('İzin Planı'!$F$6:$F$35,27-5)&lt;=('Özet'!$C$6+7*32)+6,INDEX('İzin Planı'!$G$6:$G$35,27-5)&gt;=('Özet'!$C$6+7*32)),AND(N(INDEX('İzin Planı'!$I$6:$I$35,27-5))&gt;0,INDEX('İzin Planı'!$I$6:$I$35,27-5)&lt;=('Özet'!$C$6+7*32)+6,INDEX('İzin Planı'!$J$6:$J$35,27-5)&gt;=('Özet'!$C$6+7*32)),AND(N(INDEX('İzin Planı'!$L$6:$L$35,27-5))&gt;0,INDEX('İzin Planı'!$L$6:$L$35,27-5)&lt;=('Özet'!$C$6+7*32)+6,INDEX('İzin Planı'!$M$6:$M$35,27-5)&gt;=('Özet'!$C$6+7*32))),"İ",""))</f>
      </c>
      <c r="AJ27" s="13">
        <f>IF(INDEX('İzin Planı'!$C$6:$C$35,27-5)="","",IF(OR(AND(N(INDEX('İzin Planı'!$F$6:$F$35,27-5))&gt;0,INDEX('İzin Planı'!$F$6:$F$35,27-5)&lt;=('Özet'!$C$6+7*33)+6,INDEX('İzin Planı'!$G$6:$G$35,27-5)&gt;=('Özet'!$C$6+7*33)),AND(N(INDEX('İzin Planı'!$I$6:$I$35,27-5))&gt;0,INDEX('İzin Planı'!$I$6:$I$35,27-5)&lt;=('Özet'!$C$6+7*33)+6,INDEX('İzin Planı'!$J$6:$J$35,27-5)&gt;=('Özet'!$C$6+7*33)),AND(N(INDEX('İzin Planı'!$L$6:$L$35,27-5))&gt;0,INDEX('İzin Planı'!$L$6:$L$35,27-5)&lt;=('Özet'!$C$6+7*33)+6,INDEX('İzin Planı'!$M$6:$M$35,27-5)&gt;=('Özet'!$C$6+7*33))),"İ",""))</f>
      </c>
      <c r="AK27" s="13">
        <f>IF(INDEX('İzin Planı'!$C$6:$C$35,27-5)="","",IF(OR(AND(N(INDEX('İzin Planı'!$F$6:$F$35,27-5))&gt;0,INDEX('İzin Planı'!$F$6:$F$35,27-5)&lt;=('Özet'!$C$6+7*34)+6,INDEX('İzin Planı'!$G$6:$G$35,27-5)&gt;=('Özet'!$C$6+7*34)),AND(N(INDEX('İzin Planı'!$I$6:$I$35,27-5))&gt;0,INDEX('İzin Planı'!$I$6:$I$35,27-5)&lt;=('Özet'!$C$6+7*34)+6,INDEX('İzin Planı'!$J$6:$J$35,27-5)&gt;=('Özet'!$C$6+7*34)),AND(N(INDEX('İzin Planı'!$L$6:$L$35,27-5))&gt;0,INDEX('İzin Planı'!$L$6:$L$35,27-5)&lt;=('Özet'!$C$6+7*34)+6,INDEX('İzin Planı'!$M$6:$M$35,27-5)&gt;=('Özet'!$C$6+7*34))),"İ",""))</f>
      </c>
      <c r="AL27" s="13">
        <f>IF(INDEX('İzin Planı'!$C$6:$C$35,27-5)="","",IF(OR(AND(N(INDEX('İzin Planı'!$F$6:$F$35,27-5))&gt;0,INDEX('İzin Planı'!$F$6:$F$35,27-5)&lt;=('Özet'!$C$6+7*35)+6,INDEX('İzin Planı'!$G$6:$G$35,27-5)&gt;=('Özet'!$C$6+7*35)),AND(N(INDEX('İzin Planı'!$I$6:$I$35,27-5))&gt;0,INDEX('İzin Planı'!$I$6:$I$35,27-5)&lt;=('Özet'!$C$6+7*35)+6,INDEX('İzin Planı'!$J$6:$J$35,27-5)&gt;=('Özet'!$C$6+7*35)),AND(N(INDEX('İzin Planı'!$L$6:$L$35,27-5))&gt;0,INDEX('İzin Planı'!$L$6:$L$35,27-5)&lt;=('Özet'!$C$6+7*35)+6,INDEX('İzin Planı'!$M$6:$M$35,27-5)&gt;=('Özet'!$C$6+7*35))),"İ",""))</f>
      </c>
      <c r="AM27" s="13">
        <f>IF(INDEX('İzin Planı'!$C$6:$C$35,27-5)="","",IF(OR(AND(N(INDEX('İzin Planı'!$F$6:$F$35,27-5))&gt;0,INDEX('İzin Planı'!$F$6:$F$35,27-5)&lt;=('Özet'!$C$6+7*36)+6,INDEX('İzin Planı'!$G$6:$G$35,27-5)&gt;=('Özet'!$C$6+7*36)),AND(N(INDEX('İzin Planı'!$I$6:$I$35,27-5))&gt;0,INDEX('İzin Planı'!$I$6:$I$35,27-5)&lt;=('Özet'!$C$6+7*36)+6,INDEX('İzin Planı'!$J$6:$J$35,27-5)&gt;=('Özet'!$C$6+7*36)),AND(N(INDEX('İzin Planı'!$L$6:$L$35,27-5))&gt;0,INDEX('İzin Planı'!$L$6:$L$35,27-5)&lt;=('Özet'!$C$6+7*36)+6,INDEX('İzin Planı'!$M$6:$M$35,27-5)&gt;=('Özet'!$C$6+7*36))),"İ",""))</f>
      </c>
      <c r="AN27" s="13">
        <f>IF(INDEX('İzin Planı'!$C$6:$C$35,27-5)="","",IF(OR(AND(N(INDEX('İzin Planı'!$F$6:$F$35,27-5))&gt;0,INDEX('İzin Planı'!$F$6:$F$35,27-5)&lt;=('Özet'!$C$6+7*37)+6,INDEX('İzin Planı'!$G$6:$G$35,27-5)&gt;=('Özet'!$C$6+7*37)),AND(N(INDEX('İzin Planı'!$I$6:$I$35,27-5))&gt;0,INDEX('İzin Planı'!$I$6:$I$35,27-5)&lt;=('Özet'!$C$6+7*37)+6,INDEX('İzin Planı'!$J$6:$J$35,27-5)&gt;=('Özet'!$C$6+7*37)),AND(N(INDEX('İzin Planı'!$L$6:$L$35,27-5))&gt;0,INDEX('İzin Planı'!$L$6:$L$35,27-5)&lt;=('Özet'!$C$6+7*37)+6,INDEX('İzin Planı'!$M$6:$M$35,27-5)&gt;=('Özet'!$C$6+7*37))),"İ",""))</f>
      </c>
      <c r="AO27" s="13">
        <f>IF(INDEX('İzin Planı'!$C$6:$C$35,27-5)="","",IF(OR(AND(N(INDEX('İzin Planı'!$F$6:$F$35,27-5))&gt;0,INDEX('İzin Planı'!$F$6:$F$35,27-5)&lt;=('Özet'!$C$6+7*38)+6,INDEX('İzin Planı'!$G$6:$G$35,27-5)&gt;=('Özet'!$C$6+7*38)),AND(N(INDEX('İzin Planı'!$I$6:$I$35,27-5))&gt;0,INDEX('İzin Planı'!$I$6:$I$35,27-5)&lt;=('Özet'!$C$6+7*38)+6,INDEX('İzin Planı'!$J$6:$J$35,27-5)&gt;=('Özet'!$C$6+7*38)),AND(N(INDEX('İzin Planı'!$L$6:$L$35,27-5))&gt;0,INDEX('İzin Planı'!$L$6:$L$35,27-5)&lt;=('Özet'!$C$6+7*38)+6,INDEX('İzin Planı'!$M$6:$M$35,27-5)&gt;=('Özet'!$C$6+7*38))),"İ",""))</f>
      </c>
      <c r="AP27" s="13">
        <f>IF(INDEX('İzin Planı'!$C$6:$C$35,27-5)="","",IF(OR(AND(N(INDEX('İzin Planı'!$F$6:$F$35,27-5))&gt;0,INDEX('İzin Planı'!$F$6:$F$35,27-5)&lt;=('Özet'!$C$6+7*39)+6,INDEX('İzin Planı'!$G$6:$G$35,27-5)&gt;=('Özet'!$C$6+7*39)),AND(N(INDEX('İzin Planı'!$I$6:$I$35,27-5))&gt;0,INDEX('İzin Planı'!$I$6:$I$35,27-5)&lt;=('Özet'!$C$6+7*39)+6,INDEX('İzin Planı'!$J$6:$J$35,27-5)&gt;=('Özet'!$C$6+7*39)),AND(N(INDEX('İzin Planı'!$L$6:$L$35,27-5))&gt;0,INDEX('İzin Planı'!$L$6:$L$35,27-5)&lt;=('Özet'!$C$6+7*39)+6,INDEX('İzin Planı'!$M$6:$M$35,27-5)&gt;=('Özet'!$C$6+7*39))),"İ",""))</f>
      </c>
      <c r="AQ27" s="13">
        <f>IF(INDEX('İzin Planı'!$C$6:$C$35,27-5)="","",IF(OR(AND(N(INDEX('İzin Planı'!$F$6:$F$35,27-5))&gt;0,INDEX('İzin Planı'!$F$6:$F$35,27-5)&lt;=('Özet'!$C$6+7*40)+6,INDEX('İzin Planı'!$G$6:$G$35,27-5)&gt;=('Özet'!$C$6+7*40)),AND(N(INDEX('İzin Planı'!$I$6:$I$35,27-5))&gt;0,INDEX('İzin Planı'!$I$6:$I$35,27-5)&lt;=('Özet'!$C$6+7*40)+6,INDEX('İzin Planı'!$J$6:$J$35,27-5)&gt;=('Özet'!$C$6+7*40)),AND(N(INDEX('İzin Planı'!$L$6:$L$35,27-5))&gt;0,INDEX('İzin Planı'!$L$6:$L$35,27-5)&lt;=('Özet'!$C$6+7*40)+6,INDEX('İzin Planı'!$M$6:$M$35,27-5)&gt;=('Özet'!$C$6+7*40))),"İ",""))</f>
      </c>
      <c r="AR27" s="13">
        <f>IF(INDEX('İzin Planı'!$C$6:$C$35,27-5)="","",IF(OR(AND(N(INDEX('İzin Planı'!$F$6:$F$35,27-5))&gt;0,INDEX('İzin Planı'!$F$6:$F$35,27-5)&lt;=('Özet'!$C$6+7*41)+6,INDEX('İzin Planı'!$G$6:$G$35,27-5)&gt;=('Özet'!$C$6+7*41)),AND(N(INDEX('İzin Planı'!$I$6:$I$35,27-5))&gt;0,INDEX('İzin Planı'!$I$6:$I$35,27-5)&lt;=('Özet'!$C$6+7*41)+6,INDEX('İzin Planı'!$J$6:$J$35,27-5)&gt;=('Özet'!$C$6+7*41)),AND(N(INDEX('İzin Planı'!$L$6:$L$35,27-5))&gt;0,INDEX('İzin Planı'!$L$6:$L$35,27-5)&lt;=('Özet'!$C$6+7*41)+6,INDEX('İzin Planı'!$M$6:$M$35,27-5)&gt;=('Özet'!$C$6+7*41))),"İ",""))</f>
      </c>
      <c r="AS27" s="13">
        <f>IF(INDEX('İzin Planı'!$C$6:$C$35,27-5)="","",IF(OR(AND(N(INDEX('İzin Planı'!$F$6:$F$35,27-5))&gt;0,INDEX('İzin Planı'!$F$6:$F$35,27-5)&lt;=('Özet'!$C$6+7*42)+6,INDEX('İzin Planı'!$G$6:$G$35,27-5)&gt;=('Özet'!$C$6+7*42)),AND(N(INDEX('İzin Planı'!$I$6:$I$35,27-5))&gt;0,INDEX('İzin Planı'!$I$6:$I$35,27-5)&lt;=('Özet'!$C$6+7*42)+6,INDEX('İzin Planı'!$J$6:$J$35,27-5)&gt;=('Özet'!$C$6+7*42)),AND(N(INDEX('İzin Planı'!$L$6:$L$35,27-5))&gt;0,INDEX('İzin Planı'!$L$6:$L$35,27-5)&lt;=('Özet'!$C$6+7*42)+6,INDEX('İzin Planı'!$M$6:$M$35,27-5)&gt;=('Özet'!$C$6+7*42))),"İ",""))</f>
      </c>
      <c r="AT27" s="13">
        <f>IF(INDEX('İzin Planı'!$C$6:$C$35,27-5)="","",IF(OR(AND(N(INDEX('İzin Planı'!$F$6:$F$35,27-5))&gt;0,INDEX('İzin Planı'!$F$6:$F$35,27-5)&lt;=('Özet'!$C$6+7*43)+6,INDEX('İzin Planı'!$G$6:$G$35,27-5)&gt;=('Özet'!$C$6+7*43)),AND(N(INDEX('İzin Planı'!$I$6:$I$35,27-5))&gt;0,INDEX('İzin Planı'!$I$6:$I$35,27-5)&lt;=('Özet'!$C$6+7*43)+6,INDEX('İzin Planı'!$J$6:$J$35,27-5)&gt;=('Özet'!$C$6+7*43)),AND(N(INDEX('İzin Planı'!$L$6:$L$35,27-5))&gt;0,INDEX('İzin Planı'!$L$6:$L$35,27-5)&lt;=('Özet'!$C$6+7*43)+6,INDEX('İzin Planı'!$M$6:$M$35,27-5)&gt;=('Özet'!$C$6+7*43))),"İ",""))</f>
      </c>
      <c r="AU27" s="13">
        <f>IF(INDEX('İzin Planı'!$C$6:$C$35,27-5)="","",IF(OR(AND(N(INDEX('İzin Planı'!$F$6:$F$35,27-5))&gt;0,INDEX('İzin Planı'!$F$6:$F$35,27-5)&lt;=('Özet'!$C$6+7*44)+6,INDEX('İzin Planı'!$G$6:$G$35,27-5)&gt;=('Özet'!$C$6+7*44)),AND(N(INDEX('İzin Planı'!$I$6:$I$35,27-5))&gt;0,INDEX('İzin Planı'!$I$6:$I$35,27-5)&lt;=('Özet'!$C$6+7*44)+6,INDEX('İzin Planı'!$J$6:$J$35,27-5)&gt;=('Özet'!$C$6+7*44)),AND(N(INDEX('İzin Planı'!$L$6:$L$35,27-5))&gt;0,INDEX('İzin Planı'!$L$6:$L$35,27-5)&lt;=('Özet'!$C$6+7*44)+6,INDEX('İzin Planı'!$M$6:$M$35,27-5)&gt;=('Özet'!$C$6+7*44))),"İ",""))</f>
      </c>
      <c r="AV27" s="13">
        <f>IF(INDEX('İzin Planı'!$C$6:$C$35,27-5)="","",IF(OR(AND(N(INDEX('İzin Planı'!$F$6:$F$35,27-5))&gt;0,INDEX('İzin Planı'!$F$6:$F$35,27-5)&lt;=('Özet'!$C$6+7*45)+6,INDEX('İzin Planı'!$G$6:$G$35,27-5)&gt;=('Özet'!$C$6+7*45)),AND(N(INDEX('İzin Planı'!$I$6:$I$35,27-5))&gt;0,INDEX('İzin Planı'!$I$6:$I$35,27-5)&lt;=('Özet'!$C$6+7*45)+6,INDEX('İzin Planı'!$J$6:$J$35,27-5)&gt;=('Özet'!$C$6+7*45)),AND(N(INDEX('İzin Planı'!$L$6:$L$35,27-5))&gt;0,INDEX('İzin Planı'!$L$6:$L$35,27-5)&lt;=('Özet'!$C$6+7*45)+6,INDEX('İzin Planı'!$M$6:$M$35,27-5)&gt;=('Özet'!$C$6+7*45))),"İ",""))</f>
      </c>
      <c r="AW27" s="13">
        <f>IF(INDEX('İzin Planı'!$C$6:$C$35,27-5)="","",IF(OR(AND(N(INDEX('İzin Planı'!$F$6:$F$35,27-5))&gt;0,INDEX('İzin Planı'!$F$6:$F$35,27-5)&lt;=('Özet'!$C$6+7*46)+6,INDEX('İzin Planı'!$G$6:$G$35,27-5)&gt;=('Özet'!$C$6+7*46)),AND(N(INDEX('İzin Planı'!$I$6:$I$35,27-5))&gt;0,INDEX('İzin Planı'!$I$6:$I$35,27-5)&lt;=('Özet'!$C$6+7*46)+6,INDEX('İzin Planı'!$J$6:$J$35,27-5)&gt;=('Özet'!$C$6+7*46)),AND(N(INDEX('İzin Planı'!$L$6:$L$35,27-5))&gt;0,INDEX('İzin Planı'!$L$6:$L$35,27-5)&lt;=('Özet'!$C$6+7*46)+6,INDEX('İzin Planı'!$M$6:$M$35,27-5)&gt;=('Özet'!$C$6+7*46))),"İ",""))</f>
      </c>
      <c r="AX27" s="13">
        <f>IF(INDEX('İzin Planı'!$C$6:$C$35,27-5)="","",IF(OR(AND(N(INDEX('İzin Planı'!$F$6:$F$35,27-5))&gt;0,INDEX('İzin Planı'!$F$6:$F$35,27-5)&lt;=('Özet'!$C$6+7*47)+6,INDEX('İzin Planı'!$G$6:$G$35,27-5)&gt;=('Özet'!$C$6+7*47)),AND(N(INDEX('İzin Planı'!$I$6:$I$35,27-5))&gt;0,INDEX('İzin Planı'!$I$6:$I$35,27-5)&lt;=('Özet'!$C$6+7*47)+6,INDEX('İzin Planı'!$J$6:$J$35,27-5)&gt;=('Özet'!$C$6+7*47)),AND(N(INDEX('İzin Planı'!$L$6:$L$35,27-5))&gt;0,INDEX('İzin Planı'!$L$6:$L$35,27-5)&lt;=('Özet'!$C$6+7*47)+6,INDEX('İzin Planı'!$M$6:$M$35,27-5)&gt;=('Özet'!$C$6+7*47))),"İ",""))</f>
      </c>
      <c r="AY27" s="13">
        <f>IF(INDEX('İzin Planı'!$C$6:$C$35,27-5)="","",IF(OR(AND(N(INDEX('İzin Planı'!$F$6:$F$35,27-5))&gt;0,INDEX('İzin Planı'!$F$6:$F$35,27-5)&lt;=('Özet'!$C$6+7*48)+6,INDEX('İzin Planı'!$G$6:$G$35,27-5)&gt;=('Özet'!$C$6+7*48)),AND(N(INDEX('İzin Planı'!$I$6:$I$35,27-5))&gt;0,INDEX('İzin Planı'!$I$6:$I$35,27-5)&lt;=('Özet'!$C$6+7*48)+6,INDEX('İzin Planı'!$J$6:$J$35,27-5)&gt;=('Özet'!$C$6+7*48)),AND(N(INDEX('İzin Planı'!$L$6:$L$35,27-5))&gt;0,INDEX('İzin Planı'!$L$6:$L$35,27-5)&lt;=('Özet'!$C$6+7*48)+6,INDEX('İzin Planı'!$M$6:$M$35,27-5)&gt;=('Özet'!$C$6+7*48))),"İ",""))</f>
      </c>
      <c r="AZ27" s="13">
        <f>IF(INDEX('İzin Planı'!$C$6:$C$35,27-5)="","",IF(OR(AND(N(INDEX('İzin Planı'!$F$6:$F$35,27-5))&gt;0,INDEX('İzin Planı'!$F$6:$F$35,27-5)&lt;=('Özet'!$C$6+7*49)+6,INDEX('İzin Planı'!$G$6:$G$35,27-5)&gt;=('Özet'!$C$6+7*49)),AND(N(INDEX('İzin Planı'!$I$6:$I$35,27-5))&gt;0,INDEX('İzin Planı'!$I$6:$I$35,27-5)&lt;=('Özet'!$C$6+7*49)+6,INDEX('İzin Planı'!$J$6:$J$35,27-5)&gt;=('Özet'!$C$6+7*49)),AND(N(INDEX('İzin Planı'!$L$6:$L$35,27-5))&gt;0,INDEX('İzin Planı'!$L$6:$L$35,27-5)&lt;=('Özet'!$C$6+7*49)+6,INDEX('İzin Planı'!$M$6:$M$35,27-5)&gt;=('Özet'!$C$6+7*49))),"İ",""))</f>
      </c>
      <c r="BA27" s="13">
        <f>IF(INDEX('İzin Planı'!$C$6:$C$35,27-5)="","",IF(OR(AND(N(INDEX('İzin Planı'!$F$6:$F$35,27-5))&gt;0,INDEX('İzin Planı'!$F$6:$F$35,27-5)&lt;=('Özet'!$C$6+7*50)+6,INDEX('İzin Planı'!$G$6:$G$35,27-5)&gt;=('Özet'!$C$6+7*50)),AND(N(INDEX('İzin Planı'!$I$6:$I$35,27-5))&gt;0,INDEX('İzin Planı'!$I$6:$I$35,27-5)&lt;=('Özet'!$C$6+7*50)+6,INDEX('İzin Planı'!$J$6:$J$35,27-5)&gt;=('Özet'!$C$6+7*50)),AND(N(INDEX('İzin Planı'!$L$6:$L$35,27-5))&gt;0,INDEX('İzin Planı'!$L$6:$L$35,27-5)&lt;=('Özet'!$C$6+7*50)+6,INDEX('İzin Planı'!$M$6:$M$35,27-5)&gt;=('Özet'!$C$6+7*50))),"İ",""))</f>
      </c>
      <c r="BB27" s="13">
        <f>IF(INDEX('İzin Planı'!$C$6:$C$35,27-5)="","",IF(OR(AND(N(INDEX('İzin Planı'!$F$6:$F$35,27-5))&gt;0,INDEX('İzin Planı'!$F$6:$F$35,27-5)&lt;=('Özet'!$C$6+7*51)+6,INDEX('İzin Planı'!$G$6:$G$35,27-5)&gt;=('Özet'!$C$6+7*51)),AND(N(INDEX('İzin Planı'!$I$6:$I$35,27-5))&gt;0,INDEX('İzin Planı'!$I$6:$I$35,27-5)&lt;=('Özet'!$C$6+7*51)+6,INDEX('İzin Planı'!$J$6:$J$35,27-5)&gt;=('Özet'!$C$6+7*51)),AND(N(INDEX('İzin Planı'!$L$6:$L$35,27-5))&gt;0,INDEX('İzin Planı'!$L$6:$L$35,27-5)&lt;=('Özet'!$C$6+7*51)+6,INDEX('İzin Planı'!$M$6:$M$35,27-5)&gt;=('Özet'!$C$6+7*51))),"İ",""))</f>
      </c>
      <c r="BC27" s="13">
        <f>IF(INDEX('İzin Planı'!$C$6:$C$35,27-5)="","",IF(OR(AND(N(INDEX('İzin Planı'!$F$6:$F$35,27-5))&gt;0,INDEX('İzin Planı'!$F$6:$F$35,27-5)&lt;=('Özet'!$C$6+7*52)+6,INDEX('İzin Planı'!$G$6:$G$35,27-5)&gt;=('Özet'!$C$6+7*52)),AND(N(INDEX('İzin Planı'!$I$6:$I$35,27-5))&gt;0,INDEX('İzin Planı'!$I$6:$I$35,27-5)&lt;=('Özet'!$C$6+7*52)+6,INDEX('İzin Planı'!$J$6:$J$35,27-5)&gt;=('Özet'!$C$6+7*52)),AND(N(INDEX('İzin Planı'!$L$6:$L$35,27-5))&gt;0,INDEX('İzin Planı'!$L$6:$L$35,27-5)&lt;=('Özet'!$C$6+7*52)+6,INDEX('İzin Planı'!$M$6:$M$35,27-5)&gt;=('Özet'!$C$6+7*52))),"İ",""))</f>
      </c>
    </row>
    <row r="28" ht="18" customHeight="1" spans="1:55" x14ac:dyDescent="0.25">
      <c r="A28" s="6">
        <v>23</v>
      </c>
      <c r="B28" s="13">
        <f>IF(INDEX('İzin Planı'!$C$6:$C$35,28-5)="","",INDEX('İzin Planı'!$C$6:$C$35,28-5))</f>
      </c>
      <c r="C28" s="13">
        <f>IF(INDEX('İzin Planı'!$C$6:$C$35,28-5)="","",IF(OR(AND(N(INDEX('İzin Planı'!$F$6:$F$35,28-5))&gt;0,INDEX('İzin Planı'!$F$6:$F$35,28-5)&lt;=('Özet'!$C$6+7*0)+6,INDEX('İzin Planı'!$G$6:$G$35,28-5)&gt;=('Özet'!$C$6+7*0)),AND(N(INDEX('İzin Planı'!$I$6:$I$35,28-5))&gt;0,INDEX('İzin Planı'!$I$6:$I$35,28-5)&lt;=('Özet'!$C$6+7*0)+6,INDEX('İzin Planı'!$J$6:$J$35,28-5)&gt;=('Özet'!$C$6+7*0)),AND(N(INDEX('İzin Planı'!$L$6:$L$35,28-5))&gt;0,INDEX('İzin Planı'!$L$6:$L$35,28-5)&lt;=('Özet'!$C$6+7*0)+6,INDEX('İzin Planı'!$M$6:$M$35,28-5)&gt;=('Özet'!$C$6+7*0))),"İ",""))</f>
      </c>
      <c r="D28" s="13">
        <f>IF(INDEX('İzin Planı'!$C$6:$C$35,28-5)="","",IF(OR(AND(N(INDEX('İzin Planı'!$F$6:$F$35,28-5))&gt;0,INDEX('İzin Planı'!$F$6:$F$35,28-5)&lt;=('Özet'!$C$6+7*1)+6,INDEX('İzin Planı'!$G$6:$G$35,28-5)&gt;=('Özet'!$C$6+7*1)),AND(N(INDEX('İzin Planı'!$I$6:$I$35,28-5))&gt;0,INDEX('İzin Planı'!$I$6:$I$35,28-5)&lt;=('Özet'!$C$6+7*1)+6,INDEX('İzin Planı'!$J$6:$J$35,28-5)&gt;=('Özet'!$C$6+7*1)),AND(N(INDEX('İzin Planı'!$L$6:$L$35,28-5))&gt;0,INDEX('İzin Planı'!$L$6:$L$35,28-5)&lt;=('Özet'!$C$6+7*1)+6,INDEX('İzin Planı'!$M$6:$M$35,28-5)&gt;=('Özet'!$C$6+7*1))),"İ",""))</f>
      </c>
      <c r="E28" s="13">
        <f>IF(INDEX('İzin Planı'!$C$6:$C$35,28-5)="","",IF(OR(AND(N(INDEX('İzin Planı'!$F$6:$F$35,28-5))&gt;0,INDEX('İzin Planı'!$F$6:$F$35,28-5)&lt;=('Özet'!$C$6+7*2)+6,INDEX('İzin Planı'!$G$6:$G$35,28-5)&gt;=('Özet'!$C$6+7*2)),AND(N(INDEX('İzin Planı'!$I$6:$I$35,28-5))&gt;0,INDEX('İzin Planı'!$I$6:$I$35,28-5)&lt;=('Özet'!$C$6+7*2)+6,INDEX('İzin Planı'!$J$6:$J$35,28-5)&gt;=('Özet'!$C$6+7*2)),AND(N(INDEX('İzin Planı'!$L$6:$L$35,28-5))&gt;0,INDEX('İzin Planı'!$L$6:$L$35,28-5)&lt;=('Özet'!$C$6+7*2)+6,INDEX('İzin Planı'!$M$6:$M$35,28-5)&gt;=('Özet'!$C$6+7*2))),"İ",""))</f>
      </c>
      <c r="F28" s="13">
        <f>IF(INDEX('İzin Planı'!$C$6:$C$35,28-5)="","",IF(OR(AND(N(INDEX('İzin Planı'!$F$6:$F$35,28-5))&gt;0,INDEX('İzin Planı'!$F$6:$F$35,28-5)&lt;=('Özet'!$C$6+7*3)+6,INDEX('İzin Planı'!$G$6:$G$35,28-5)&gt;=('Özet'!$C$6+7*3)),AND(N(INDEX('İzin Planı'!$I$6:$I$35,28-5))&gt;0,INDEX('İzin Planı'!$I$6:$I$35,28-5)&lt;=('Özet'!$C$6+7*3)+6,INDEX('İzin Planı'!$J$6:$J$35,28-5)&gt;=('Özet'!$C$6+7*3)),AND(N(INDEX('İzin Planı'!$L$6:$L$35,28-5))&gt;0,INDEX('İzin Planı'!$L$6:$L$35,28-5)&lt;=('Özet'!$C$6+7*3)+6,INDEX('İzin Planı'!$M$6:$M$35,28-5)&gt;=('Özet'!$C$6+7*3))),"İ",""))</f>
      </c>
      <c r="G28" s="13">
        <f>IF(INDEX('İzin Planı'!$C$6:$C$35,28-5)="","",IF(OR(AND(N(INDEX('İzin Planı'!$F$6:$F$35,28-5))&gt;0,INDEX('İzin Planı'!$F$6:$F$35,28-5)&lt;=('Özet'!$C$6+7*4)+6,INDEX('İzin Planı'!$G$6:$G$35,28-5)&gt;=('Özet'!$C$6+7*4)),AND(N(INDEX('İzin Planı'!$I$6:$I$35,28-5))&gt;0,INDEX('İzin Planı'!$I$6:$I$35,28-5)&lt;=('Özet'!$C$6+7*4)+6,INDEX('İzin Planı'!$J$6:$J$35,28-5)&gt;=('Özet'!$C$6+7*4)),AND(N(INDEX('İzin Planı'!$L$6:$L$35,28-5))&gt;0,INDEX('İzin Planı'!$L$6:$L$35,28-5)&lt;=('Özet'!$C$6+7*4)+6,INDEX('İzin Planı'!$M$6:$M$35,28-5)&gt;=('Özet'!$C$6+7*4))),"İ",""))</f>
      </c>
      <c r="H28" s="13">
        <f>IF(INDEX('İzin Planı'!$C$6:$C$35,28-5)="","",IF(OR(AND(N(INDEX('İzin Planı'!$F$6:$F$35,28-5))&gt;0,INDEX('İzin Planı'!$F$6:$F$35,28-5)&lt;=('Özet'!$C$6+7*5)+6,INDEX('İzin Planı'!$G$6:$G$35,28-5)&gt;=('Özet'!$C$6+7*5)),AND(N(INDEX('İzin Planı'!$I$6:$I$35,28-5))&gt;0,INDEX('İzin Planı'!$I$6:$I$35,28-5)&lt;=('Özet'!$C$6+7*5)+6,INDEX('İzin Planı'!$J$6:$J$35,28-5)&gt;=('Özet'!$C$6+7*5)),AND(N(INDEX('İzin Planı'!$L$6:$L$35,28-5))&gt;0,INDEX('İzin Planı'!$L$6:$L$35,28-5)&lt;=('Özet'!$C$6+7*5)+6,INDEX('İzin Planı'!$M$6:$M$35,28-5)&gt;=('Özet'!$C$6+7*5))),"İ",""))</f>
      </c>
      <c r="I28" s="13">
        <f>IF(INDEX('İzin Planı'!$C$6:$C$35,28-5)="","",IF(OR(AND(N(INDEX('İzin Planı'!$F$6:$F$35,28-5))&gt;0,INDEX('İzin Planı'!$F$6:$F$35,28-5)&lt;=('Özet'!$C$6+7*6)+6,INDEX('İzin Planı'!$G$6:$G$35,28-5)&gt;=('Özet'!$C$6+7*6)),AND(N(INDEX('İzin Planı'!$I$6:$I$35,28-5))&gt;0,INDEX('İzin Planı'!$I$6:$I$35,28-5)&lt;=('Özet'!$C$6+7*6)+6,INDEX('İzin Planı'!$J$6:$J$35,28-5)&gt;=('Özet'!$C$6+7*6)),AND(N(INDEX('İzin Planı'!$L$6:$L$35,28-5))&gt;0,INDEX('İzin Planı'!$L$6:$L$35,28-5)&lt;=('Özet'!$C$6+7*6)+6,INDEX('İzin Planı'!$M$6:$M$35,28-5)&gt;=('Özet'!$C$6+7*6))),"İ",""))</f>
      </c>
      <c r="J28" s="13">
        <f>IF(INDEX('İzin Planı'!$C$6:$C$35,28-5)="","",IF(OR(AND(N(INDEX('İzin Planı'!$F$6:$F$35,28-5))&gt;0,INDEX('İzin Planı'!$F$6:$F$35,28-5)&lt;=('Özet'!$C$6+7*7)+6,INDEX('İzin Planı'!$G$6:$G$35,28-5)&gt;=('Özet'!$C$6+7*7)),AND(N(INDEX('İzin Planı'!$I$6:$I$35,28-5))&gt;0,INDEX('İzin Planı'!$I$6:$I$35,28-5)&lt;=('Özet'!$C$6+7*7)+6,INDEX('İzin Planı'!$J$6:$J$35,28-5)&gt;=('Özet'!$C$6+7*7)),AND(N(INDEX('İzin Planı'!$L$6:$L$35,28-5))&gt;0,INDEX('İzin Planı'!$L$6:$L$35,28-5)&lt;=('Özet'!$C$6+7*7)+6,INDEX('İzin Planı'!$M$6:$M$35,28-5)&gt;=('Özet'!$C$6+7*7))),"İ",""))</f>
      </c>
      <c r="K28" s="13">
        <f>IF(INDEX('İzin Planı'!$C$6:$C$35,28-5)="","",IF(OR(AND(N(INDEX('İzin Planı'!$F$6:$F$35,28-5))&gt;0,INDEX('İzin Planı'!$F$6:$F$35,28-5)&lt;=('Özet'!$C$6+7*8)+6,INDEX('İzin Planı'!$G$6:$G$35,28-5)&gt;=('Özet'!$C$6+7*8)),AND(N(INDEX('İzin Planı'!$I$6:$I$35,28-5))&gt;0,INDEX('İzin Planı'!$I$6:$I$35,28-5)&lt;=('Özet'!$C$6+7*8)+6,INDEX('İzin Planı'!$J$6:$J$35,28-5)&gt;=('Özet'!$C$6+7*8)),AND(N(INDEX('İzin Planı'!$L$6:$L$35,28-5))&gt;0,INDEX('İzin Planı'!$L$6:$L$35,28-5)&lt;=('Özet'!$C$6+7*8)+6,INDEX('İzin Planı'!$M$6:$M$35,28-5)&gt;=('Özet'!$C$6+7*8))),"İ",""))</f>
      </c>
      <c r="L28" s="13">
        <f>IF(INDEX('İzin Planı'!$C$6:$C$35,28-5)="","",IF(OR(AND(N(INDEX('İzin Planı'!$F$6:$F$35,28-5))&gt;0,INDEX('İzin Planı'!$F$6:$F$35,28-5)&lt;=('Özet'!$C$6+7*9)+6,INDEX('İzin Planı'!$G$6:$G$35,28-5)&gt;=('Özet'!$C$6+7*9)),AND(N(INDEX('İzin Planı'!$I$6:$I$35,28-5))&gt;0,INDEX('İzin Planı'!$I$6:$I$35,28-5)&lt;=('Özet'!$C$6+7*9)+6,INDEX('İzin Planı'!$J$6:$J$35,28-5)&gt;=('Özet'!$C$6+7*9)),AND(N(INDEX('İzin Planı'!$L$6:$L$35,28-5))&gt;0,INDEX('İzin Planı'!$L$6:$L$35,28-5)&lt;=('Özet'!$C$6+7*9)+6,INDEX('İzin Planı'!$M$6:$M$35,28-5)&gt;=('Özet'!$C$6+7*9))),"İ",""))</f>
      </c>
      <c r="M28" s="13">
        <f>IF(INDEX('İzin Planı'!$C$6:$C$35,28-5)="","",IF(OR(AND(N(INDEX('İzin Planı'!$F$6:$F$35,28-5))&gt;0,INDEX('İzin Planı'!$F$6:$F$35,28-5)&lt;=('Özet'!$C$6+7*10)+6,INDEX('İzin Planı'!$G$6:$G$35,28-5)&gt;=('Özet'!$C$6+7*10)),AND(N(INDEX('İzin Planı'!$I$6:$I$35,28-5))&gt;0,INDEX('İzin Planı'!$I$6:$I$35,28-5)&lt;=('Özet'!$C$6+7*10)+6,INDEX('İzin Planı'!$J$6:$J$35,28-5)&gt;=('Özet'!$C$6+7*10)),AND(N(INDEX('İzin Planı'!$L$6:$L$35,28-5))&gt;0,INDEX('İzin Planı'!$L$6:$L$35,28-5)&lt;=('Özet'!$C$6+7*10)+6,INDEX('İzin Planı'!$M$6:$M$35,28-5)&gt;=('Özet'!$C$6+7*10))),"İ",""))</f>
      </c>
      <c r="N28" s="13">
        <f>IF(INDEX('İzin Planı'!$C$6:$C$35,28-5)="","",IF(OR(AND(N(INDEX('İzin Planı'!$F$6:$F$35,28-5))&gt;0,INDEX('İzin Planı'!$F$6:$F$35,28-5)&lt;=('Özet'!$C$6+7*11)+6,INDEX('İzin Planı'!$G$6:$G$35,28-5)&gt;=('Özet'!$C$6+7*11)),AND(N(INDEX('İzin Planı'!$I$6:$I$35,28-5))&gt;0,INDEX('İzin Planı'!$I$6:$I$35,28-5)&lt;=('Özet'!$C$6+7*11)+6,INDEX('İzin Planı'!$J$6:$J$35,28-5)&gt;=('Özet'!$C$6+7*11)),AND(N(INDEX('İzin Planı'!$L$6:$L$35,28-5))&gt;0,INDEX('İzin Planı'!$L$6:$L$35,28-5)&lt;=('Özet'!$C$6+7*11)+6,INDEX('İzin Planı'!$M$6:$M$35,28-5)&gt;=('Özet'!$C$6+7*11))),"İ",""))</f>
      </c>
      <c r="O28" s="13">
        <f>IF(INDEX('İzin Planı'!$C$6:$C$35,28-5)="","",IF(OR(AND(N(INDEX('İzin Planı'!$F$6:$F$35,28-5))&gt;0,INDEX('İzin Planı'!$F$6:$F$35,28-5)&lt;=('Özet'!$C$6+7*12)+6,INDEX('İzin Planı'!$G$6:$G$35,28-5)&gt;=('Özet'!$C$6+7*12)),AND(N(INDEX('İzin Planı'!$I$6:$I$35,28-5))&gt;0,INDEX('İzin Planı'!$I$6:$I$35,28-5)&lt;=('Özet'!$C$6+7*12)+6,INDEX('İzin Planı'!$J$6:$J$35,28-5)&gt;=('Özet'!$C$6+7*12)),AND(N(INDEX('İzin Planı'!$L$6:$L$35,28-5))&gt;0,INDEX('İzin Planı'!$L$6:$L$35,28-5)&lt;=('Özet'!$C$6+7*12)+6,INDEX('İzin Planı'!$M$6:$M$35,28-5)&gt;=('Özet'!$C$6+7*12))),"İ",""))</f>
      </c>
      <c r="P28" s="13">
        <f>IF(INDEX('İzin Planı'!$C$6:$C$35,28-5)="","",IF(OR(AND(N(INDEX('İzin Planı'!$F$6:$F$35,28-5))&gt;0,INDEX('İzin Planı'!$F$6:$F$35,28-5)&lt;=('Özet'!$C$6+7*13)+6,INDEX('İzin Planı'!$G$6:$G$35,28-5)&gt;=('Özet'!$C$6+7*13)),AND(N(INDEX('İzin Planı'!$I$6:$I$35,28-5))&gt;0,INDEX('İzin Planı'!$I$6:$I$35,28-5)&lt;=('Özet'!$C$6+7*13)+6,INDEX('İzin Planı'!$J$6:$J$35,28-5)&gt;=('Özet'!$C$6+7*13)),AND(N(INDEX('İzin Planı'!$L$6:$L$35,28-5))&gt;0,INDEX('İzin Planı'!$L$6:$L$35,28-5)&lt;=('Özet'!$C$6+7*13)+6,INDEX('İzin Planı'!$M$6:$M$35,28-5)&gt;=('Özet'!$C$6+7*13))),"İ",""))</f>
      </c>
      <c r="Q28" s="13">
        <f>IF(INDEX('İzin Planı'!$C$6:$C$35,28-5)="","",IF(OR(AND(N(INDEX('İzin Planı'!$F$6:$F$35,28-5))&gt;0,INDEX('İzin Planı'!$F$6:$F$35,28-5)&lt;=('Özet'!$C$6+7*14)+6,INDEX('İzin Planı'!$G$6:$G$35,28-5)&gt;=('Özet'!$C$6+7*14)),AND(N(INDEX('İzin Planı'!$I$6:$I$35,28-5))&gt;0,INDEX('İzin Planı'!$I$6:$I$35,28-5)&lt;=('Özet'!$C$6+7*14)+6,INDEX('İzin Planı'!$J$6:$J$35,28-5)&gt;=('Özet'!$C$6+7*14)),AND(N(INDEX('İzin Planı'!$L$6:$L$35,28-5))&gt;0,INDEX('İzin Planı'!$L$6:$L$35,28-5)&lt;=('Özet'!$C$6+7*14)+6,INDEX('İzin Planı'!$M$6:$M$35,28-5)&gt;=('Özet'!$C$6+7*14))),"İ",""))</f>
      </c>
      <c r="R28" s="13">
        <f>IF(INDEX('İzin Planı'!$C$6:$C$35,28-5)="","",IF(OR(AND(N(INDEX('İzin Planı'!$F$6:$F$35,28-5))&gt;0,INDEX('İzin Planı'!$F$6:$F$35,28-5)&lt;=('Özet'!$C$6+7*15)+6,INDEX('İzin Planı'!$G$6:$G$35,28-5)&gt;=('Özet'!$C$6+7*15)),AND(N(INDEX('İzin Planı'!$I$6:$I$35,28-5))&gt;0,INDEX('İzin Planı'!$I$6:$I$35,28-5)&lt;=('Özet'!$C$6+7*15)+6,INDEX('İzin Planı'!$J$6:$J$35,28-5)&gt;=('Özet'!$C$6+7*15)),AND(N(INDEX('İzin Planı'!$L$6:$L$35,28-5))&gt;0,INDEX('İzin Planı'!$L$6:$L$35,28-5)&lt;=('Özet'!$C$6+7*15)+6,INDEX('İzin Planı'!$M$6:$M$35,28-5)&gt;=('Özet'!$C$6+7*15))),"İ",""))</f>
      </c>
      <c r="S28" s="13">
        <f>IF(INDEX('İzin Planı'!$C$6:$C$35,28-5)="","",IF(OR(AND(N(INDEX('İzin Planı'!$F$6:$F$35,28-5))&gt;0,INDEX('İzin Planı'!$F$6:$F$35,28-5)&lt;=('Özet'!$C$6+7*16)+6,INDEX('İzin Planı'!$G$6:$G$35,28-5)&gt;=('Özet'!$C$6+7*16)),AND(N(INDEX('İzin Planı'!$I$6:$I$35,28-5))&gt;0,INDEX('İzin Planı'!$I$6:$I$35,28-5)&lt;=('Özet'!$C$6+7*16)+6,INDEX('İzin Planı'!$J$6:$J$35,28-5)&gt;=('Özet'!$C$6+7*16)),AND(N(INDEX('İzin Planı'!$L$6:$L$35,28-5))&gt;0,INDEX('İzin Planı'!$L$6:$L$35,28-5)&lt;=('Özet'!$C$6+7*16)+6,INDEX('İzin Planı'!$M$6:$M$35,28-5)&gt;=('Özet'!$C$6+7*16))),"İ",""))</f>
      </c>
      <c r="T28" s="13">
        <f>IF(INDEX('İzin Planı'!$C$6:$C$35,28-5)="","",IF(OR(AND(N(INDEX('İzin Planı'!$F$6:$F$35,28-5))&gt;0,INDEX('İzin Planı'!$F$6:$F$35,28-5)&lt;=('Özet'!$C$6+7*17)+6,INDEX('İzin Planı'!$G$6:$G$35,28-5)&gt;=('Özet'!$C$6+7*17)),AND(N(INDEX('İzin Planı'!$I$6:$I$35,28-5))&gt;0,INDEX('İzin Planı'!$I$6:$I$35,28-5)&lt;=('Özet'!$C$6+7*17)+6,INDEX('İzin Planı'!$J$6:$J$35,28-5)&gt;=('Özet'!$C$6+7*17)),AND(N(INDEX('İzin Planı'!$L$6:$L$35,28-5))&gt;0,INDEX('İzin Planı'!$L$6:$L$35,28-5)&lt;=('Özet'!$C$6+7*17)+6,INDEX('İzin Planı'!$M$6:$M$35,28-5)&gt;=('Özet'!$C$6+7*17))),"İ",""))</f>
      </c>
      <c r="U28" s="13">
        <f>IF(INDEX('İzin Planı'!$C$6:$C$35,28-5)="","",IF(OR(AND(N(INDEX('İzin Planı'!$F$6:$F$35,28-5))&gt;0,INDEX('İzin Planı'!$F$6:$F$35,28-5)&lt;=('Özet'!$C$6+7*18)+6,INDEX('İzin Planı'!$G$6:$G$35,28-5)&gt;=('Özet'!$C$6+7*18)),AND(N(INDEX('İzin Planı'!$I$6:$I$35,28-5))&gt;0,INDEX('İzin Planı'!$I$6:$I$35,28-5)&lt;=('Özet'!$C$6+7*18)+6,INDEX('İzin Planı'!$J$6:$J$35,28-5)&gt;=('Özet'!$C$6+7*18)),AND(N(INDEX('İzin Planı'!$L$6:$L$35,28-5))&gt;0,INDEX('İzin Planı'!$L$6:$L$35,28-5)&lt;=('Özet'!$C$6+7*18)+6,INDEX('İzin Planı'!$M$6:$M$35,28-5)&gt;=('Özet'!$C$6+7*18))),"İ",""))</f>
      </c>
      <c r="V28" s="13">
        <f>IF(INDEX('İzin Planı'!$C$6:$C$35,28-5)="","",IF(OR(AND(N(INDEX('İzin Planı'!$F$6:$F$35,28-5))&gt;0,INDEX('İzin Planı'!$F$6:$F$35,28-5)&lt;=('Özet'!$C$6+7*19)+6,INDEX('İzin Planı'!$G$6:$G$35,28-5)&gt;=('Özet'!$C$6+7*19)),AND(N(INDEX('İzin Planı'!$I$6:$I$35,28-5))&gt;0,INDEX('İzin Planı'!$I$6:$I$35,28-5)&lt;=('Özet'!$C$6+7*19)+6,INDEX('İzin Planı'!$J$6:$J$35,28-5)&gt;=('Özet'!$C$6+7*19)),AND(N(INDEX('İzin Planı'!$L$6:$L$35,28-5))&gt;0,INDEX('İzin Planı'!$L$6:$L$35,28-5)&lt;=('Özet'!$C$6+7*19)+6,INDEX('İzin Planı'!$M$6:$M$35,28-5)&gt;=('Özet'!$C$6+7*19))),"İ",""))</f>
      </c>
      <c r="W28" s="13">
        <f>IF(INDEX('İzin Planı'!$C$6:$C$35,28-5)="","",IF(OR(AND(N(INDEX('İzin Planı'!$F$6:$F$35,28-5))&gt;0,INDEX('İzin Planı'!$F$6:$F$35,28-5)&lt;=('Özet'!$C$6+7*20)+6,INDEX('İzin Planı'!$G$6:$G$35,28-5)&gt;=('Özet'!$C$6+7*20)),AND(N(INDEX('İzin Planı'!$I$6:$I$35,28-5))&gt;0,INDEX('İzin Planı'!$I$6:$I$35,28-5)&lt;=('Özet'!$C$6+7*20)+6,INDEX('İzin Planı'!$J$6:$J$35,28-5)&gt;=('Özet'!$C$6+7*20)),AND(N(INDEX('İzin Planı'!$L$6:$L$35,28-5))&gt;0,INDEX('İzin Planı'!$L$6:$L$35,28-5)&lt;=('Özet'!$C$6+7*20)+6,INDEX('İzin Planı'!$M$6:$M$35,28-5)&gt;=('Özet'!$C$6+7*20))),"İ",""))</f>
      </c>
      <c r="X28" s="13">
        <f>IF(INDEX('İzin Planı'!$C$6:$C$35,28-5)="","",IF(OR(AND(N(INDEX('İzin Planı'!$F$6:$F$35,28-5))&gt;0,INDEX('İzin Planı'!$F$6:$F$35,28-5)&lt;=('Özet'!$C$6+7*21)+6,INDEX('İzin Planı'!$G$6:$G$35,28-5)&gt;=('Özet'!$C$6+7*21)),AND(N(INDEX('İzin Planı'!$I$6:$I$35,28-5))&gt;0,INDEX('İzin Planı'!$I$6:$I$35,28-5)&lt;=('Özet'!$C$6+7*21)+6,INDEX('İzin Planı'!$J$6:$J$35,28-5)&gt;=('Özet'!$C$6+7*21)),AND(N(INDEX('İzin Planı'!$L$6:$L$35,28-5))&gt;0,INDEX('İzin Planı'!$L$6:$L$35,28-5)&lt;=('Özet'!$C$6+7*21)+6,INDEX('İzin Planı'!$M$6:$M$35,28-5)&gt;=('Özet'!$C$6+7*21))),"İ",""))</f>
      </c>
      <c r="Y28" s="13">
        <f>IF(INDEX('İzin Planı'!$C$6:$C$35,28-5)="","",IF(OR(AND(N(INDEX('İzin Planı'!$F$6:$F$35,28-5))&gt;0,INDEX('İzin Planı'!$F$6:$F$35,28-5)&lt;=('Özet'!$C$6+7*22)+6,INDEX('İzin Planı'!$G$6:$G$35,28-5)&gt;=('Özet'!$C$6+7*22)),AND(N(INDEX('İzin Planı'!$I$6:$I$35,28-5))&gt;0,INDEX('İzin Planı'!$I$6:$I$35,28-5)&lt;=('Özet'!$C$6+7*22)+6,INDEX('İzin Planı'!$J$6:$J$35,28-5)&gt;=('Özet'!$C$6+7*22)),AND(N(INDEX('İzin Planı'!$L$6:$L$35,28-5))&gt;0,INDEX('İzin Planı'!$L$6:$L$35,28-5)&lt;=('Özet'!$C$6+7*22)+6,INDEX('İzin Planı'!$M$6:$M$35,28-5)&gt;=('Özet'!$C$6+7*22))),"İ",""))</f>
      </c>
      <c r="Z28" s="13">
        <f>IF(INDEX('İzin Planı'!$C$6:$C$35,28-5)="","",IF(OR(AND(N(INDEX('İzin Planı'!$F$6:$F$35,28-5))&gt;0,INDEX('İzin Planı'!$F$6:$F$35,28-5)&lt;=('Özet'!$C$6+7*23)+6,INDEX('İzin Planı'!$G$6:$G$35,28-5)&gt;=('Özet'!$C$6+7*23)),AND(N(INDEX('İzin Planı'!$I$6:$I$35,28-5))&gt;0,INDEX('İzin Planı'!$I$6:$I$35,28-5)&lt;=('Özet'!$C$6+7*23)+6,INDEX('İzin Planı'!$J$6:$J$35,28-5)&gt;=('Özet'!$C$6+7*23)),AND(N(INDEX('İzin Planı'!$L$6:$L$35,28-5))&gt;0,INDEX('İzin Planı'!$L$6:$L$35,28-5)&lt;=('Özet'!$C$6+7*23)+6,INDEX('İzin Planı'!$M$6:$M$35,28-5)&gt;=('Özet'!$C$6+7*23))),"İ",""))</f>
      </c>
      <c r="AA28" s="13">
        <f>IF(INDEX('İzin Planı'!$C$6:$C$35,28-5)="","",IF(OR(AND(N(INDEX('İzin Planı'!$F$6:$F$35,28-5))&gt;0,INDEX('İzin Planı'!$F$6:$F$35,28-5)&lt;=('Özet'!$C$6+7*24)+6,INDEX('İzin Planı'!$G$6:$G$35,28-5)&gt;=('Özet'!$C$6+7*24)),AND(N(INDEX('İzin Planı'!$I$6:$I$35,28-5))&gt;0,INDEX('İzin Planı'!$I$6:$I$35,28-5)&lt;=('Özet'!$C$6+7*24)+6,INDEX('İzin Planı'!$J$6:$J$35,28-5)&gt;=('Özet'!$C$6+7*24)),AND(N(INDEX('İzin Planı'!$L$6:$L$35,28-5))&gt;0,INDEX('İzin Planı'!$L$6:$L$35,28-5)&lt;=('Özet'!$C$6+7*24)+6,INDEX('İzin Planı'!$M$6:$M$35,28-5)&gt;=('Özet'!$C$6+7*24))),"İ",""))</f>
      </c>
      <c r="AB28" s="13">
        <f>IF(INDEX('İzin Planı'!$C$6:$C$35,28-5)="","",IF(OR(AND(N(INDEX('İzin Planı'!$F$6:$F$35,28-5))&gt;0,INDEX('İzin Planı'!$F$6:$F$35,28-5)&lt;=('Özet'!$C$6+7*25)+6,INDEX('İzin Planı'!$G$6:$G$35,28-5)&gt;=('Özet'!$C$6+7*25)),AND(N(INDEX('İzin Planı'!$I$6:$I$35,28-5))&gt;0,INDEX('İzin Planı'!$I$6:$I$35,28-5)&lt;=('Özet'!$C$6+7*25)+6,INDEX('İzin Planı'!$J$6:$J$35,28-5)&gt;=('Özet'!$C$6+7*25)),AND(N(INDEX('İzin Planı'!$L$6:$L$35,28-5))&gt;0,INDEX('İzin Planı'!$L$6:$L$35,28-5)&lt;=('Özet'!$C$6+7*25)+6,INDEX('İzin Planı'!$M$6:$M$35,28-5)&gt;=('Özet'!$C$6+7*25))),"İ",""))</f>
      </c>
      <c r="AC28" s="13">
        <f>IF(INDEX('İzin Planı'!$C$6:$C$35,28-5)="","",IF(OR(AND(N(INDEX('İzin Planı'!$F$6:$F$35,28-5))&gt;0,INDEX('İzin Planı'!$F$6:$F$35,28-5)&lt;=('Özet'!$C$6+7*26)+6,INDEX('İzin Planı'!$G$6:$G$35,28-5)&gt;=('Özet'!$C$6+7*26)),AND(N(INDEX('İzin Planı'!$I$6:$I$35,28-5))&gt;0,INDEX('İzin Planı'!$I$6:$I$35,28-5)&lt;=('Özet'!$C$6+7*26)+6,INDEX('İzin Planı'!$J$6:$J$35,28-5)&gt;=('Özet'!$C$6+7*26)),AND(N(INDEX('İzin Planı'!$L$6:$L$35,28-5))&gt;0,INDEX('İzin Planı'!$L$6:$L$35,28-5)&lt;=('Özet'!$C$6+7*26)+6,INDEX('İzin Planı'!$M$6:$M$35,28-5)&gt;=('Özet'!$C$6+7*26))),"İ",""))</f>
      </c>
      <c r="AD28" s="13">
        <f>IF(INDEX('İzin Planı'!$C$6:$C$35,28-5)="","",IF(OR(AND(N(INDEX('İzin Planı'!$F$6:$F$35,28-5))&gt;0,INDEX('İzin Planı'!$F$6:$F$35,28-5)&lt;=('Özet'!$C$6+7*27)+6,INDEX('İzin Planı'!$G$6:$G$35,28-5)&gt;=('Özet'!$C$6+7*27)),AND(N(INDEX('İzin Planı'!$I$6:$I$35,28-5))&gt;0,INDEX('İzin Planı'!$I$6:$I$35,28-5)&lt;=('Özet'!$C$6+7*27)+6,INDEX('İzin Planı'!$J$6:$J$35,28-5)&gt;=('Özet'!$C$6+7*27)),AND(N(INDEX('İzin Planı'!$L$6:$L$35,28-5))&gt;0,INDEX('İzin Planı'!$L$6:$L$35,28-5)&lt;=('Özet'!$C$6+7*27)+6,INDEX('İzin Planı'!$M$6:$M$35,28-5)&gt;=('Özet'!$C$6+7*27))),"İ",""))</f>
      </c>
      <c r="AE28" s="13">
        <f>IF(INDEX('İzin Planı'!$C$6:$C$35,28-5)="","",IF(OR(AND(N(INDEX('İzin Planı'!$F$6:$F$35,28-5))&gt;0,INDEX('İzin Planı'!$F$6:$F$35,28-5)&lt;=('Özet'!$C$6+7*28)+6,INDEX('İzin Planı'!$G$6:$G$35,28-5)&gt;=('Özet'!$C$6+7*28)),AND(N(INDEX('İzin Planı'!$I$6:$I$35,28-5))&gt;0,INDEX('İzin Planı'!$I$6:$I$35,28-5)&lt;=('Özet'!$C$6+7*28)+6,INDEX('İzin Planı'!$J$6:$J$35,28-5)&gt;=('Özet'!$C$6+7*28)),AND(N(INDEX('İzin Planı'!$L$6:$L$35,28-5))&gt;0,INDEX('İzin Planı'!$L$6:$L$35,28-5)&lt;=('Özet'!$C$6+7*28)+6,INDEX('İzin Planı'!$M$6:$M$35,28-5)&gt;=('Özet'!$C$6+7*28))),"İ",""))</f>
      </c>
      <c r="AF28" s="13">
        <f>IF(INDEX('İzin Planı'!$C$6:$C$35,28-5)="","",IF(OR(AND(N(INDEX('İzin Planı'!$F$6:$F$35,28-5))&gt;0,INDEX('İzin Planı'!$F$6:$F$35,28-5)&lt;=('Özet'!$C$6+7*29)+6,INDEX('İzin Planı'!$G$6:$G$35,28-5)&gt;=('Özet'!$C$6+7*29)),AND(N(INDEX('İzin Planı'!$I$6:$I$35,28-5))&gt;0,INDEX('İzin Planı'!$I$6:$I$35,28-5)&lt;=('Özet'!$C$6+7*29)+6,INDEX('İzin Planı'!$J$6:$J$35,28-5)&gt;=('Özet'!$C$6+7*29)),AND(N(INDEX('İzin Planı'!$L$6:$L$35,28-5))&gt;0,INDEX('İzin Planı'!$L$6:$L$35,28-5)&lt;=('Özet'!$C$6+7*29)+6,INDEX('İzin Planı'!$M$6:$M$35,28-5)&gt;=('Özet'!$C$6+7*29))),"İ",""))</f>
      </c>
      <c r="AG28" s="13">
        <f>IF(INDEX('İzin Planı'!$C$6:$C$35,28-5)="","",IF(OR(AND(N(INDEX('İzin Planı'!$F$6:$F$35,28-5))&gt;0,INDEX('İzin Planı'!$F$6:$F$35,28-5)&lt;=('Özet'!$C$6+7*30)+6,INDEX('İzin Planı'!$G$6:$G$35,28-5)&gt;=('Özet'!$C$6+7*30)),AND(N(INDEX('İzin Planı'!$I$6:$I$35,28-5))&gt;0,INDEX('İzin Planı'!$I$6:$I$35,28-5)&lt;=('Özet'!$C$6+7*30)+6,INDEX('İzin Planı'!$J$6:$J$35,28-5)&gt;=('Özet'!$C$6+7*30)),AND(N(INDEX('İzin Planı'!$L$6:$L$35,28-5))&gt;0,INDEX('İzin Planı'!$L$6:$L$35,28-5)&lt;=('Özet'!$C$6+7*30)+6,INDEX('İzin Planı'!$M$6:$M$35,28-5)&gt;=('Özet'!$C$6+7*30))),"İ",""))</f>
      </c>
      <c r="AH28" s="13">
        <f>IF(INDEX('İzin Planı'!$C$6:$C$35,28-5)="","",IF(OR(AND(N(INDEX('İzin Planı'!$F$6:$F$35,28-5))&gt;0,INDEX('İzin Planı'!$F$6:$F$35,28-5)&lt;=('Özet'!$C$6+7*31)+6,INDEX('İzin Planı'!$G$6:$G$35,28-5)&gt;=('Özet'!$C$6+7*31)),AND(N(INDEX('İzin Planı'!$I$6:$I$35,28-5))&gt;0,INDEX('İzin Planı'!$I$6:$I$35,28-5)&lt;=('Özet'!$C$6+7*31)+6,INDEX('İzin Planı'!$J$6:$J$35,28-5)&gt;=('Özet'!$C$6+7*31)),AND(N(INDEX('İzin Planı'!$L$6:$L$35,28-5))&gt;0,INDEX('İzin Planı'!$L$6:$L$35,28-5)&lt;=('Özet'!$C$6+7*31)+6,INDEX('İzin Planı'!$M$6:$M$35,28-5)&gt;=('Özet'!$C$6+7*31))),"İ",""))</f>
      </c>
      <c r="AI28" s="13">
        <f>IF(INDEX('İzin Planı'!$C$6:$C$35,28-5)="","",IF(OR(AND(N(INDEX('İzin Planı'!$F$6:$F$35,28-5))&gt;0,INDEX('İzin Planı'!$F$6:$F$35,28-5)&lt;=('Özet'!$C$6+7*32)+6,INDEX('İzin Planı'!$G$6:$G$35,28-5)&gt;=('Özet'!$C$6+7*32)),AND(N(INDEX('İzin Planı'!$I$6:$I$35,28-5))&gt;0,INDEX('İzin Planı'!$I$6:$I$35,28-5)&lt;=('Özet'!$C$6+7*32)+6,INDEX('İzin Planı'!$J$6:$J$35,28-5)&gt;=('Özet'!$C$6+7*32)),AND(N(INDEX('İzin Planı'!$L$6:$L$35,28-5))&gt;0,INDEX('İzin Planı'!$L$6:$L$35,28-5)&lt;=('Özet'!$C$6+7*32)+6,INDEX('İzin Planı'!$M$6:$M$35,28-5)&gt;=('Özet'!$C$6+7*32))),"İ",""))</f>
      </c>
      <c r="AJ28" s="13">
        <f>IF(INDEX('İzin Planı'!$C$6:$C$35,28-5)="","",IF(OR(AND(N(INDEX('İzin Planı'!$F$6:$F$35,28-5))&gt;0,INDEX('İzin Planı'!$F$6:$F$35,28-5)&lt;=('Özet'!$C$6+7*33)+6,INDEX('İzin Planı'!$G$6:$G$35,28-5)&gt;=('Özet'!$C$6+7*33)),AND(N(INDEX('İzin Planı'!$I$6:$I$35,28-5))&gt;0,INDEX('İzin Planı'!$I$6:$I$35,28-5)&lt;=('Özet'!$C$6+7*33)+6,INDEX('İzin Planı'!$J$6:$J$35,28-5)&gt;=('Özet'!$C$6+7*33)),AND(N(INDEX('İzin Planı'!$L$6:$L$35,28-5))&gt;0,INDEX('İzin Planı'!$L$6:$L$35,28-5)&lt;=('Özet'!$C$6+7*33)+6,INDEX('İzin Planı'!$M$6:$M$35,28-5)&gt;=('Özet'!$C$6+7*33))),"İ",""))</f>
      </c>
      <c r="AK28" s="13">
        <f>IF(INDEX('İzin Planı'!$C$6:$C$35,28-5)="","",IF(OR(AND(N(INDEX('İzin Planı'!$F$6:$F$35,28-5))&gt;0,INDEX('İzin Planı'!$F$6:$F$35,28-5)&lt;=('Özet'!$C$6+7*34)+6,INDEX('İzin Planı'!$G$6:$G$35,28-5)&gt;=('Özet'!$C$6+7*34)),AND(N(INDEX('İzin Planı'!$I$6:$I$35,28-5))&gt;0,INDEX('İzin Planı'!$I$6:$I$35,28-5)&lt;=('Özet'!$C$6+7*34)+6,INDEX('İzin Planı'!$J$6:$J$35,28-5)&gt;=('Özet'!$C$6+7*34)),AND(N(INDEX('İzin Planı'!$L$6:$L$35,28-5))&gt;0,INDEX('İzin Planı'!$L$6:$L$35,28-5)&lt;=('Özet'!$C$6+7*34)+6,INDEX('İzin Planı'!$M$6:$M$35,28-5)&gt;=('Özet'!$C$6+7*34))),"İ",""))</f>
      </c>
      <c r="AL28" s="13">
        <f>IF(INDEX('İzin Planı'!$C$6:$C$35,28-5)="","",IF(OR(AND(N(INDEX('İzin Planı'!$F$6:$F$35,28-5))&gt;0,INDEX('İzin Planı'!$F$6:$F$35,28-5)&lt;=('Özet'!$C$6+7*35)+6,INDEX('İzin Planı'!$G$6:$G$35,28-5)&gt;=('Özet'!$C$6+7*35)),AND(N(INDEX('İzin Planı'!$I$6:$I$35,28-5))&gt;0,INDEX('İzin Planı'!$I$6:$I$35,28-5)&lt;=('Özet'!$C$6+7*35)+6,INDEX('İzin Planı'!$J$6:$J$35,28-5)&gt;=('Özet'!$C$6+7*35)),AND(N(INDEX('İzin Planı'!$L$6:$L$35,28-5))&gt;0,INDEX('İzin Planı'!$L$6:$L$35,28-5)&lt;=('Özet'!$C$6+7*35)+6,INDEX('İzin Planı'!$M$6:$M$35,28-5)&gt;=('Özet'!$C$6+7*35))),"İ",""))</f>
      </c>
      <c r="AM28" s="13">
        <f>IF(INDEX('İzin Planı'!$C$6:$C$35,28-5)="","",IF(OR(AND(N(INDEX('İzin Planı'!$F$6:$F$35,28-5))&gt;0,INDEX('İzin Planı'!$F$6:$F$35,28-5)&lt;=('Özet'!$C$6+7*36)+6,INDEX('İzin Planı'!$G$6:$G$35,28-5)&gt;=('Özet'!$C$6+7*36)),AND(N(INDEX('İzin Planı'!$I$6:$I$35,28-5))&gt;0,INDEX('İzin Planı'!$I$6:$I$35,28-5)&lt;=('Özet'!$C$6+7*36)+6,INDEX('İzin Planı'!$J$6:$J$35,28-5)&gt;=('Özet'!$C$6+7*36)),AND(N(INDEX('İzin Planı'!$L$6:$L$35,28-5))&gt;0,INDEX('İzin Planı'!$L$6:$L$35,28-5)&lt;=('Özet'!$C$6+7*36)+6,INDEX('İzin Planı'!$M$6:$M$35,28-5)&gt;=('Özet'!$C$6+7*36))),"İ",""))</f>
      </c>
      <c r="AN28" s="13">
        <f>IF(INDEX('İzin Planı'!$C$6:$C$35,28-5)="","",IF(OR(AND(N(INDEX('İzin Planı'!$F$6:$F$35,28-5))&gt;0,INDEX('İzin Planı'!$F$6:$F$35,28-5)&lt;=('Özet'!$C$6+7*37)+6,INDEX('İzin Planı'!$G$6:$G$35,28-5)&gt;=('Özet'!$C$6+7*37)),AND(N(INDEX('İzin Planı'!$I$6:$I$35,28-5))&gt;0,INDEX('İzin Planı'!$I$6:$I$35,28-5)&lt;=('Özet'!$C$6+7*37)+6,INDEX('İzin Planı'!$J$6:$J$35,28-5)&gt;=('Özet'!$C$6+7*37)),AND(N(INDEX('İzin Planı'!$L$6:$L$35,28-5))&gt;0,INDEX('İzin Planı'!$L$6:$L$35,28-5)&lt;=('Özet'!$C$6+7*37)+6,INDEX('İzin Planı'!$M$6:$M$35,28-5)&gt;=('Özet'!$C$6+7*37))),"İ",""))</f>
      </c>
      <c r="AO28" s="13">
        <f>IF(INDEX('İzin Planı'!$C$6:$C$35,28-5)="","",IF(OR(AND(N(INDEX('İzin Planı'!$F$6:$F$35,28-5))&gt;0,INDEX('İzin Planı'!$F$6:$F$35,28-5)&lt;=('Özet'!$C$6+7*38)+6,INDEX('İzin Planı'!$G$6:$G$35,28-5)&gt;=('Özet'!$C$6+7*38)),AND(N(INDEX('İzin Planı'!$I$6:$I$35,28-5))&gt;0,INDEX('İzin Planı'!$I$6:$I$35,28-5)&lt;=('Özet'!$C$6+7*38)+6,INDEX('İzin Planı'!$J$6:$J$35,28-5)&gt;=('Özet'!$C$6+7*38)),AND(N(INDEX('İzin Planı'!$L$6:$L$35,28-5))&gt;0,INDEX('İzin Planı'!$L$6:$L$35,28-5)&lt;=('Özet'!$C$6+7*38)+6,INDEX('İzin Planı'!$M$6:$M$35,28-5)&gt;=('Özet'!$C$6+7*38))),"İ",""))</f>
      </c>
      <c r="AP28" s="13">
        <f>IF(INDEX('İzin Planı'!$C$6:$C$35,28-5)="","",IF(OR(AND(N(INDEX('İzin Planı'!$F$6:$F$35,28-5))&gt;0,INDEX('İzin Planı'!$F$6:$F$35,28-5)&lt;=('Özet'!$C$6+7*39)+6,INDEX('İzin Planı'!$G$6:$G$35,28-5)&gt;=('Özet'!$C$6+7*39)),AND(N(INDEX('İzin Planı'!$I$6:$I$35,28-5))&gt;0,INDEX('İzin Planı'!$I$6:$I$35,28-5)&lt;=('Özet'!$C$6+7*39)+6,INDEX('İzin Planı'!$J$6:$J$35,28-5)&gt;=('Özet'!$C$6+7*39)),AND(N(INDEX('İzin Planı'!$L$6:$L$35,28-5))&gt;0,INDEX('İzin Planı'!$L$6:$L$35,28-5)&lt;=('Özet'!$C$6+7*39)+6,INDEX('İzin Planı'!$M$6:$M$35,28-5)&gt;=('Özet'!$C$6+7*39))),"İ",""))</f>
      </c>
      <c r="AQ28" s="13">
        <f>IF(INDEX('İzin Planı'!$C$6:$C$35,28-5)="","",IF(OR(AND(N(INDEX('İzin Planı'!$F$6:$F$35,28-5))&gt;0,INDEX('İzin Planı'!$F$6:$F$35,28-5)&lt;=('Özet'!$C$6+7*40)+6,INDEX('İzin Planı'!$G$6:$G$35,28-5)&gt;=('Özet'!$C$6+7*40)),AND(N(INDEX('İzin Planı'!$I$6:$I$35,28-5))&gt;0,INDEX('İzin Planı'!$I$6:$I$35,28-5)&lt;=('Özet'!$C$6+7*40)+6,INDEX('İzin Planı'!$J$6:$J$35,28-5)&gt;=('Özet'!$C$6+7*40)),AND(N(INDEX('İzin Planı'!$L$6:$L$35,28-5))&gt;0,INDEX('İzin Planı'!$L$6:$L$35,28-5)&lt;=('Özet'!$C$6+7*40)+6,INDEX('İzin Planı'!$M$6:$M$35,28-5)&gt;=('Özet'!$C$6+7*40))),"İ",""))</f>
      </c>
      <c r="AR28" s="13">
        <f>IF(INDEX('İzin Planı'!$C$6:$C$35,28-5)="","",IF(OR(AND(N(INDEX('İzin Planı'!$F$6:$F$35,28-5))&gt;0,INDEX('İzin Planı'!$F$6:$F$35,28-5)&lt;=('Özet'!$C$6+7*41)+6,INDEX('İzin Planı'!$G$6:$G$35,28-5)&gt;=('Özet'!$C$6+7*41)),AND(N(INDEX('İzin Planı'!$I$6:$I$35,28-5))&gt;0,INDEX('İzin Planı'!$I$6:$I$35,28-5)&lt;=('Özet'!$C$6+7*41)+6,INDEX('İzin Planı'!$J$6:$J$35,28-5)&gt;=('Özet'!$C$6+7*41)),AND(N(INDEX('İzin Planı'!$L$6:$L$35,28-5))&gt;0,INDEX('İzin Planı'!$L$6:$L$35,28-5)&lt;=('Özet'!$C$6+7*41)+6,INDEX('İzin Planı'!$M$6:$M$35,28-5)&gt;=('Özet'!$C$6+7*41))),"İ",""))</f>
      </c>
      <c r="AS28" s="13">
        <f>IF(INDEX('İzin Planı'!$C$6:$C$35,28-5)="","",IF(OR(AND(N(INDEX('İzin Planı'!$F$6:$F$35,28-5))&gt;0,INDEX('İzin Planı'!$F$6:$F$35,28-5)&lt;=('Özet'!$C$6+7*42)+6,INDEX('İzin Planı'!$G$6:$G$35,28-5)&gt;=('Özet'!$C$6+7*42)),AND(N(INDEX('İzin Planı'!$I$6:$I$35,28-5))&gt;0,INDEX('İzin Planı'!$I$6:$I$35,28-5)&lt;=('Özet'!$C$6+7*42)+6,INDEX('İzin Planı'!$J$6:$J$35,28-5)&gt;=('Özet'!$C$6+7*42)),AND(N(INDEX('İzin Planı'!$L$6:$L$35,28-5))&gt;0,INDEX('İzin Planı'!$L$6:$L$35,28-5)&lt;=('Özet'!$C$6+7*42)+6,INDEX('İzin Planı'!$M$6:$M$35,28-5)&gt;=('Özet'!$C$6+7*42))),"İ",""))</f>
      </c>
      <c r="AT28" s="13">
        <f>IF(INDEX('İzin Planı'!$C$6:$C$35,28-5)="","",IF(OR(AND(N(INDEX('İzin Planı'!$F$6:$F$35,28-5))&gt;0,INDEX('İzin Planı'!$F$6:$F$35,28-5)&lt;=('Özet'!$C$6+7*43)+6,INDEX('İzin Planı'!$G$6:$G$35,28-5)&gt;=('Özet'!$C$6+7*43)),AND(N(INDEX('İzin Planı'!$I$6:$I$35,28-5))&gt;0,INDEX('İzin Planı'!$I$6:$I$35,28-5)&lt;=('Özet'!$C$6+7*43)+6,INDEX('İzin Planı'!$J$6:$J$35,28-5)&gt;=('Özet'!$C$6+7*43)),AND(N(INDEX('İzin Planı'!$L$6:$L$35,28-5))&gt;0,INDEX('İzin Planı'!$L$6:$L$35,28-5)&lt;=('Özet'!$C$6+7*43)+6,INDEX('İzin Planı'!$M$6:$M$35,28-5)&gt;=('Özet'!$C$6+7*43))),"İ",""))</f>
      </c>
      <c r="AU28" s="13">
        <f>IF(INDEX('İzin Planı'!$C$6:$C$35,28-5)="","",IF(OR(AND(N(INDEX('İzin Planı'!$F$6:$F$35,28-5))&gt;0,INDEX('İzin Planı'!$F$6:$F$35,28-5)&lt;=('Özet'!$C$6+7*44)+6,INDEX('İzin Planı'!$G$6:$G$35,28-5)&gt;=('Özet'!$C$6+7*44)),AND(N(INDEX('İzin Planı'!$I$6:$I$35,28-5))&gt;0,INDEX('İzin Planı'!$I$6:$I$35,28-5)&lt;=('Özet'!$C$6+7*44)+6,INDEX('İzin Planı'!$J$6:$J$35,28-5)&gt;=('Özet'!$C$6+7*44)),AND(N(INDEX('İzin Planı'!$L$6:$L$35,28-5))&gt;0,INDEX('İzin Planı'!$L$6:$L$35,28-5)&lt;=('Özet'!$C$6+7*44)+6,INDEX('İzin Planı'!$M$6:$M$35,28-5)&gt;=('Özet'!$C$6+7*44))),"İ",""))</f>
      </c>
      <c r="AV28" s="13">
        <f>IF(INDEX('İzin Planı'!$C$6:$C$35,28-5)="","",IF(OR(AND(N(INDEX('İzin Planı'!$F$6:$F$35,28-5))&gt;0,INDEX('İzin Planı'!$F$6:$F$35,28-5)&lt;=('Özet'!$C$6+7*45)+6,INDEX('İzin Planı'!$G$6:$G$35,28-5)&gt;=('Özet'!$C$6+7*45)),AND(N(INDEX('İzin Planı'!$I$6:$I$35,28-5))&gt;0,INDEX('İzin Planı'!$I$6:$I$35,28-5)&lt;=('Özet'!$C$6+7*45)+6,INDEX('İzin Planı'!$J$6:$J$35,28-5)&gt;=('Özet'!$C$6+7*45)),AND(N(INDEX('İzin Planı'!$L$6:$L$35,28-5))&gt;0,INDEX('İzin Planı'!$L$6:$L$35,28-5)&lt;=('Özet'!$C$6+7*45)+6,INDEX('İzin Planı'!$M$6:$M$35,28-5)&gt;=('Özet'!$C$6+7*45))),"İ",""))</f>
      </c>
      <c r="AW28" s="13">
        <f>IF(INDEX('İzin Planı'!$C$6:$C$35,28-5)="","",IF(OR(AND(N(INDEX('İzin Planı'!$F$6:$F$35,28-5))&gt;0,INDEX('İzin Planı'!$F$6:$F$35,28-5)&lt;=('Özet'!$C$6+7*46)+6,INDEX('İzin Planı'!$G$6:$G$35,28-5)&gt;=('Özet'!$C$6+7*46)),AND(N(INDEX('İzin Planı'!$I$6:$I$35,28-5))&gt;0,INDEX('İzin Planı'!$I$6:$I$35,28-5)&lt;=('Özet'!$C$6+7*46)+6,INDEX('İzin Planı'!$J$6:$J$35,28-5)&gt;=('Özet'!$C$6+7*46)),AND(N(INDEX('İzin Planı'!$L$6:$L$35,28-5))&gt;0,INDEX('İzin Planı'!$L$6:$L$35,28-5)&lt;=('Özet'!$C$6+7*46)+6,INDEX('İzin Planı'!$M$6:$M$35,28-5)&gt;=('Özet'!$C$6+7*46))),"İ",""))</f>
      </c>
      <c r="AX28" s="13">
        <f>IF(INDEX('İzin Planı'!$C$6:$C$35,28-5)="","",IF(OR(AND(N(INDEX('İzin Planı'!$F$6:$F$35,28-5))&gt;0,INDEX('İzin Planı'!$F$6:$F$35,28-5)&lt;=('Özet'!$C$6+7*47)+6,INDEX('İzin Planı'!$G$6:$G$35,28-5)&gt;=('Özet'!$C$6+7*47)),AND(N(INDEX('İzin Planı'!$I$6:$I$35,28-5))&gt;0,INDEX('İzin Planı'!$I$6:$I$35,28-5)&lt;=('Özet'!$C$6+7*47)+6,INDEX('İzin Planı'!$J$6:$J$35,28-5)&gt;=('Özet'!$C$6+7*47)),AND(N(INDEX('İzin Planı'!$L$6:$L$35,28-5))&gt;0,INDEX('İzin Planı'!$L$6:$L$35,28-5)&lt;=('Özet'!$C$6+7*47)+6,INDEX('İzin Planı'!$M$6:$M$35,28-5)&gt;=('Özet'!$C$6+7*47))),"İ",""))</f>
      </c>
      <c r="AY28" s="13">
        <f>IF(INDEX('İzin Planı'!$C$6:$C$35,28-5)="","",IF(OR(AND(N(INDEX('İzin Planı'!$F$6:$F$35,28-5))&gt;0,INDEX('İzin Planı'!$F$6:$F$35,28-5)&lt;=('Özet'!$C$6+7*48)+6,INDEX('İzin Planı'!$G$6:$G$35,28-5)&gt;=('Özet'!$C$6+7*48)),AND(N(INDEX('İzin Planı'!$I$6:$I$35,28-5))&gt;0,INDEX('İzin Planı'!$I$6:$I$35,28-5)&lt;=('Özet'!$C$6+7*48)+6,INDEX('İzin Planı'!$J$6:$J$35,28-5)&gt;=('Özet'!$C$6+7*48)),AND(N(INDEX('İzin Planı'!$L$6:$L$35,28-5))&gt;0,INDEX('İzin Planı'!$L$6:$L$35,28-5)&lt;=('Özet'!$C$6+7*48)+6,INDEX('İzin Planı'!$M$6:$M$35,28-5)&gt;=('Özet'!$C$6+7*48))),"İ",""))</f>
      </c>
      <c r="AZ28" s="13">
        <f>IF(INDEX('İzin Planı'!$C$6:$C$35,28-5)="","",IF(OR(AND(N(INDEX('İzin Planı'!$F$6:$F$35,28-5))&gt;0,INDEX('İzin Planı'!$F$6:$F$35,28-5)&lt;=('Özet'!$C$6+7*49)+6,INDEX('İzin Planı'!$G$6:$G$35,28-5)&gt;=('Özet'!$C$6+7*49)),AND(N(INDEX('İzin Planı'!$I$6:$I$35,28-5))&gt;0,INDEX('İzin Planı'!$I$6:$I$35,28-5)&lt;=('Özet'!$C$6+7*49)+6,INDEX('İzin Planı'!$J$6:$J$35,28-5)&gt;=('Özet'!$C$6+7*49)),AND(N(INDEX('İzin Planı'!$L$6:$L$35,28-5))&gt;0,INDEX('İzin Planı'!$L$6:$L$35,28-5)&lt;=('Özet'!$C$6+7*49)+6,INDEX('İzin Planı'!$M$6:$M$35,28-5)&gt;=('Özet'!$C$6+7*49))),"İ",""))</f>
      </c>
      <c r="BA28" s="13">
        <f>IF(INDEX('İzin Planı'!$C$6:$C$35,28-5)="","",IF(OR(AND(N(INDEX('İzin Planı'!$F$6:$F$35,28-5))&gt;0,INDEX('İzin Planı'!$F$6:$F$35,28-5)&lt;=('Özet'!$C$6+7*50)+6,INDEX('İzin Planı'!$G$6:$G$35,28-5)&gt;=('Özet'!$C$6+7*50)),AND(N(INDEX('İzin Planı'!$I$6:$I$35,28-5))&gt;0,INDEX('İzin Planı'!$I$6:$I$35,28-5)&lt;=('Özet'!$C$6+7*50)+6,INDEX('İzin Planı'!$J$6:$J$35,28-5)&gt;=('Özet'!$C$6+7*50)),AND(N(INDEX('İzin Planı'!$L$6:$L$35,28-5))&gt;0,INDEX('İzin Planı'!$L$6:$L$35,28-5)&lt;=('Özet'!$C$6+7*50)+6,INDEX('İzin Planı'!$M$6:$M$35,28-5)&gt;=('Özet'!$C$6+7*50))),"İ",""))</f>
      </c>
      <c r="BB28" s="13">
        <f>IF(INDEX('İzin Planı'!$C$6:$C$35,28-5)="","",IF(OR(AND(N(INDEX('İzin Planı'!$F$6:$F$35,28-5))&gt;0,INDEX('İzin Planı'!$F$6:$F$35,28-5)&lt;=('Özet'!$C$6+7*51)+6,INDEX('İzin Planı'!$G$6:$G$35,28-5)&gt;=('Özet'!$C$6+7*51)),AND(N(INDEX('İzin Planı'!$I$6:$I$35,28-5))&gt;0,INDEX('İzin Planı'!$I$6:$I$35,28-5)&lt;=('Özet'!$C$6+7*51)+6,INDEX('İzin Planı'!$J$6:$J$35,28-5)&gt;=('Özet'!$C$6+7*51)),AND(N(INDEX('İzin Planı'!$L$6:$L$35,28-5))&gt;0,INDEX('İzin Planı'!$L$6:$L$35,28-5)&lt;=('Özet'!$C$6+7*51)+6,INDEX('İzin Planı'!$M$6:$M$35,28-5)&gt;=('Özet'!$C$6+7*51))),"İ",""))</f>
      </c>
      <c r="BC28" s="13">
        <f>IF(INDEX('İzin Planı'!$C$6:$C$35,28-5)="","",IF(OR(AND(N(INDEX('İzin Planı'!$F$6:$F$35,28-5))&gt;0,INDEX('İzin Planı'!$F$6:$F$35,28-5)&lt;=('Özet'!$C$6+7*52)+6,INDEX('İzin Planı'!$G$6:$G$35,28-5)&gt;=('Özet'!$C$6+7*52)),AND(N(INDEX('İzin Planı'!$I$6:$I$35,28-5))&gt;0,INDEX('İzin Planı'!$I$6:$I$35,28-5)&lt;=('Özet'!$C$6+7*52)+6,INDEX('İzin Planı'!$J$6:$J$35,28-5)&gt;=('Özet'!$C$6+7*52)),AND(N(INDEX('İzin Planı'!$L$6:$L$35,28-5))&gt;0,INDEX('İzin Planı'!$L$6:$L$35,28-5)&lt;=('Özet'!$C$6+7*52)+6,INDEX('İzin Planı'!$M$6:$M$35,28-5)&gt;=('Özet'!$C$6+7*52))),"İ",""))</f>
      </c>
    </row>
    <row r="29" ht="18" customHeight="1" spans="1:55" x14ac:dyDescent="0.25">
      <c r="A29" s="6">
        <v>24</v>
      </c>
      <c r="B29" s="13">
        <f>IF(INDEX('İzin Planı'!$C$6:$C$35,29-5)="","",INDEX('İzin Planı'!$C$6:$C$35,29-5))</f>
      </c>
      <c r="C29" s="13">
        <f>IF(INDEX('İzin Planı'!$C$6:$C$35,29-5)="","",IF(OR(AND(N(INDEX('İzin Planı'!$F$6:$F$35,29-5))&gt;0,INDEX('İzin Planı'!$F$6:$F$35,29-5)&lt;=('Özet'!$C$6+7*0)+6,INDEX('İzin Planı'!$G$6:$G$35,29-5)&gt;=('Özet'!$C$6+7*0)),AND(N(INDEX('İzin Planı'!$I$6:$I$35,29-5))&gt;0,INDEX('İzin Planı'!$I$6:$I$35,29-5)&lt;=('Özet'!$C$6+7*0)+6,INDEX('İzin Planı'!$J$6:$J$35,29-5)&gt;=('Özet'!$C$6+7*0)),AND(N(INDEX('İzin Planı'!$L$6:$L$35,29-5))&gt;0,INDEX('İzin Planı'!$L$6:$L$35,29-5)&lt;=('Özet'!$C$6+7*0)+6,INDEX('İzin Planı'!$M$6:$M$35,29-5)&gt;=('Özet'!$C$6+7*0))),"İ",""))</f>
      </c>
      <c r="D29" s="13">
        <f>IF(INDEX('İzin Planı'!$C$6:$C$35,29-5)="","",IF(OR(AND(N(INDEX('İzin Planı'!$F$6:$F$35,29-5))&gt;0,INDEX('İzin Planı'!$F$6:$F$35,29-5)&lt;=('Özet'!$C$6+7*1)+6,INDEX('İzin Planı'!$G$6:$G$35,29-5)&gt;=('Özet'!$C$6+7*1)),AND(N(INDEX('İzin Planı'!$I$6:$I$35,29-5))&gt;0,INDEX('İzin Planı'!$I$6:$I$35,29-5)&lt;=('Özet'!$C$6+7*1)+6,INDEX('İzin Planı'!$J$6:$J$35,29-5)&gt;=('Özet'!$C$6+7*1)),AND(N(INDEX('İzin Planı'!$L$6:$L$35,29-5))&gt;0,INDEX('İzin Planı'!$L$6:$L$35,29-5)&lt;=('Özet'!$C$6+7*1)+6,INDEX('İzin Planı'!$M$6:$M$35,29-5)&gt;=('Özet'!$C$6+7*1))),"İ",""))</f>
      </c>
      <c r="E29" s="13">
        <f>IF(INDEX('İzin Planı'!$C$6:$C$35,29-5)="","",IF(OR(AND(N(INDEX('İzin Planı'!$F$6:$F$35,29-5))&gt;0,INDEX('İzin Planı'!$F$6:$F$35,29-5)&lt;=('Özet'!$C$6+7*2)+6,INDEX('İzin Planı'!$G$6:$G$35,29-5)&gt;=('Özet'!$C$6+7*2)),AND(N(INDEX('İzin Planı'!$I$6:$I$35,29-5))&gt;0,INDEX('İzin Planı'!$I$6:$I$35,29-5)&lt;=('Özet'!$C$6+7*2)+6,INDEX('İzin Planı'!$J$6:$J$35,29-5)&gt;=('Özet'!$C$6+7*2)),AND(N(INDEX('İzin Planı'!$L$6:$L$35,29-5))&gt;0,INDEX('İzin Planı'!$L$6:$L$35,29-5)&lt;=('Özet'!$C$6+7*2)+6,INDEX('İzin Planı'!$M$6:$M$35,29-5)&gt;=('Özet'!$C$6+7*2))),"İ",""))</f>
      </c>
      <c r="F29" s="13">
        <f>IF(INDEX('İzin Planı'!$C$6:$C$35,29-5)="","",IF(OR(AND(N(INDEX('İzin Planı'!$F$6:$F$35,29-5))&gt;0,INDEX('İzin Planı'!$F$6:$F$35,29-5)&lt;=('Özet'!$C$6+7*3)+6,INDEX('İzin Planı'!$G$6:$G$35,29-5)&gt;=('Özet'!$C$6+7*3)),AND(N(INDEX('İzin Planı'!$I$6:$I$35,29-5))&gt;0,INDEX('İzin Planı'!$I$6:$I$35,29-5)&lt;=('Özet'!$C$6+7*3)+6,INDEX('İzin Planı'!$J$6:$J$35,29-5)&gt;=('Özet'!$C$6+7*3)),AND(N(INDEX('İzin Planı'!$L$6:$L$35,29-5))&gt;0,INDEX('İzin Planı'!$L$6:$L$35,29-5)&lt;=('Özet'!$C$6+7*3)+6,INDEX('İzin Planı'!$M$6:$M$35,29-5)&gt;=('Özet'!$C$6+7*3))),"İ",""))</f>
      </c>
      <c r="G29" s="13">
        <f>IF(INDEX('İzin Planı'!$C$6:$C$35,29-5)="","",IF(OR(AND(N(INDEX('İzin Planı'!$F$6:$F$35,29-5))&gt;0,INDEX('İzin Planı'!$F$6:$F$35,29-5)&lt;=('Özet'!$C$6+7*4)+6,INDEX('İzin Planı'!$G$6:$G$35,29-5)&gt;=('Özet'!$C$6+7*4)),AND(N(INDEX('İzin Planı'!$I$6:$I$35,29-5))&gt;0,INDEX('İzin Planı'!$I$6:$I$35,29-5)&lt;=('Özet'!$C$6+7*4)+6,INDEX('İzin Planı'!$J$6:$J$35,29-5)&gt;=('Özet'!$C$6+7*4)),AND(N(INDEX('İzin Planı'!$L$6:$L$35,29-5))&gt;0,INDEX('İzin Planı'!$L$6:$L$35,29-5)&lt;=('Özet'!$C$6+7*4)+6,INDEX('İzin Planı'!$M$6:$M$35,29-5)&gt;=('Özet'!$C$6+7*4))),"İ",""))</f>
      </c>
      <c r="H29" s="13">
        <f>IF(INDEX('İzin Planı'!$C$6:$C$35,29-5)="","",IF(OR(AND(N(INDEX('İzin Planı'!$F$6:$F$35,29-5))&gt;0,INDEX('İzin Planı'!$F$6:$F$35,29-5)&lt;=('Özet'!$C$6+7*5)+6,INDEX('İzin Planı'!$G$6:$G$35,29-5)&gt;=('Özet'!$C$6+7*5)),AND(N(INDEX('İzin Planı'!$I$6:$I$35,29-5))&gt;0,INDEX('İzin Planı'!$I$6:$I$35,29-5)&lt;=('Özet'!$C$6+7*5)+6,INDEX('İzin Planı'!$J$6:$J$35,29-5)&gt;=('Özet'!$C$6+7*5)),AND(N(INDEX('İzin Planı'!$L$6:$L$35,29-5))&gt;0,INDEX('İzin Planı'!$L$6:$L$35,29-5)&lt;=('Özet'!$C$6+7*5)+6,INDEX('İzin Planı'!$M$6:$M$35,29-5)&gt;=('Özet'!$C$6+7*5))),"İ",""))</f>
      </c>
      <c r="I29" s="13">
        <f>IF(INDEX('İzin Planı'!$C$6:$C$35,29-5)="","",IF(OR(AND(N(INDEX('İzin Planı'!$F$6:$F$35,29-5))&gt;0,INDEX('İzin Planı'!$F$6:$F$35,29-5)&lt;=('Özet'!$C$6+7*6)+6,INDEX('İzin Planı'!$G$6:$G$35,29-5)&gt;=('Özet'!$C$6+7*6)),AND(N(INDEX('İzin Planı'!$I$6:$I$35,29-5))&gt;0,INDEX('İzin Planı'!$I$6:$I$35,29-5)&lt;=('Özet'!$C$6+7*6)+6,INDEX('İzin Planı'!$J$6:$J$35,29-5)&gt;=('Özet'!$C$6+7*6)),AND(N(INDEX('İzin Planı'!$L$6:$L$35,29-5))&gt;0,INDEX('İzin Planı'!$L$6:$L$35,29-5)&lt;=('Özet'!$C$6+7*6)+6,INDEX('İzin Planı'!$M$6:$M$35,29-5)&gt;=('Özet'!$C$6+7*6))),"İ",""))</f>
      </c>
      <c r="J29" s="13">
        <f>IF(INDEX('İzin Planı'!$C$6:$C$35,29-5)="","",IF(OR(AND(N(INDEX('İzin Planı'!$F$6:$F$35,29-5))&gt;0,INDEX('İzin Planı'!$F$6:$F$35,29-5)&lt;=('Özet'!$C$6+7*7)+6,INDEX('İzin Planı'!$G$6:$G$35,29-5)&gt;=('Özet'!$C$6+7*7)),AND(N(INDEX('İzin Planı'!$I$6:$I$35,29-5))&gt;0,INDEX('İzin Planı'!$I$6:$I$35,29-5)&lt;=('Özet'!$C$6+7*7)+6,INDEX('İzin Planı'!$J$6:$J$35,29-5)&gt;=('Özet'!$C$6+7*7)),AND(N(INDEX('İzin Planı'!$L$6:$L$35,29-5))&gt;0,INDEX('İzin Planı'!$L$6:$L$35,29-5)&lt;=('Özet'!$C$6+7*7)+6,INDEX('İzin Planı'!$M$6:$M$35,29-5)&gt;=('Özet'!$C$6+7*7))),"İ",""))</f>
      </c>
      <c r="K29" s="13">
        <f>IF(INDEX('İzin Planı'!$C$6:$C$35,29-5)="","",IF(OR(AND(N(INDEX('İzin Planı'!$F$6:$F$35,29-5))&gt;0,INDEX('İzin Planı'!$F$6:$F$35,29-5)&lt;=('Özet'!$C$6+7*8)+6,INDEX('İzin Planı'!$G$6:$G$35,29-5)&gt;=('Özet'!$C$6+7*8)),AND(N(INDEX('İzin Planı'!$I$6:$I$35,29-5))&gt;0,INDEX('İzin Planı'!$I$6:$I$35,29-5)&lt;=('Özet'!$C$6+7*8)+6,INDEX('İzin Planı'!$J$6:$J$35,29-5)&gt;=('Özet'!$C$6+7*8)),AND(N(INDEX('İzin Planı'!$L$6:$L$35,29-5))&gt;0,INDEX('İzin Planı'!$L$6:$L$35,29-5)&lt;=('Özet'!$C$6+7*8)+6,INDEX('İzin Planı'!$M$6:$M$35,29-5)&gt;=('Özet'!$C$6+7*8))),"İ",""))</f>
      </c>
      <c r="L29" s="13">
        <f>IF(INDEX('İzin Planı'!$C$6:$C$35,29-5)="","",IF(OR(AND(N(INDEX('İzin Planı'!$F$6:$F$35,29-5))&gt;0,INDEX('İzin Planı'!$F$6:$F$35,29-5)&lt;=('Özet'!$C$6+7*9)+6,INDEX('İzin Planı'!$G$6:$G$35,29-5)&gt;=('Özet'!$C$6+7*9)),AND(N(INDEX('İzin Planı'!$I$6:$I$35,29-5))&gt;0,INDEX('İzin Planı'!$I$6:$I$35,29-5)&lt;=('Özet'!$C$6+7*9)+6,INDEX('İzin Planı'!$J$6:$J$35,29-5)&gt;=('Özet'!$C$6+7*9)),AND(N(INDEX('İzin Planı'!$L$6:$L$35,29-5))&gt;0,INDEX('İzin Planı'!$L$6:$L$35,29-5)&lt;=('Özet'!$C$6+7*9)+6,INDEX('İzin Planı'!$M$6:$M$35,29-5)&gt;=('Özet'!$C$6+7*9))),"İ",""))</f>
      </c>
      <c r="M29" s="13">
        <f>IF(INDEX('İzin Planı'!$C$6:$C$35,29-5)="","",IF(OR(AND(N(INDEX('İzin Planı'!$F$6:$F$35,29-5))&gt;0,INDEX('İzin Planı'!$F$6:$F$35,29-5)&lt;=('Özet'!$C$6+7*10)+6,INDEX('İzin Planı'!$G$6:$G$35,29-5)&gt;=('Özet'!$C$6+7*10)),AND(N(INDEX('İzin Planı'!$I$6:$I$35,29-5))&gt;0,INDEX('İzin Planı'!$I$6:$I$35,29-5)&lt;=('Özet'!$C$6+7*10)+6,INDEX('İzin Planı'!$J$6:$J$35,29-5)&gt;=('Özet'!$C$6+7*10)),AND(N(INDEX('İzin Planı'!$L$6:$L$35,29-5))&gt;0,INDEX('İzin Planı'!$L$6:$L$35,29-5)&lt;=('Özet'!$C$6+7*10)+6,INDEX('İzin Planı'!$M$6:$M$35,29-5)&gt;=('Özet'!$C$6+7*10))),"İ",""))</f>
      </c>
      <c r="N29" s="13">
        <f>IF(INDEX('İzin Planı'!$C$6:$C$35,29-5)="","",IF(OR(AND(N(INDEX('İzin Planı'!$F$6:$F$35,29-5))&gt;0,INDEX('İzin Planı'!$F$6:$F$35,29-5)&lt;=('Özet'!$C$6+7*11)+6,INDEX('İzin Planı'!$G$6:$G$35,29-5)&gt;=('Özet'!$C$6+7*11)),AND(N(INDEX('İzin Planı'!$I$6:$I$35,29-5))&gt;0,INDEX('İzin Planı'!$I$6:$I$35,29-5)&lt;=('Özet'!$C$6+7*11)+6,INDEX('İzin Planı'!$J$6:$J$35,29-5)&gt;=('Özet'!$C$6+7*11)),AND(N(INDEX('İzin Planı'!$L$6:$L$35,29-5))&gt;0,INDEX('İzin Planı'!$L$6:$L$35,29-5)&lt;=('Özet'!$C$6+7*11)+6,INDEX('İzin Planı'!$M$6:$M$35,29-5)&gt;=('Özet'!$C$6+7*11))),"İ",""))</f>
      </c>
      <c r="O29" s="13">
        <f>IF(INDEX('İzin Planı'!$C$6:$C$35,29-5)="","",IF(OR(AND(N(INDEX('İzin Planı'!$F$6:$F$35,29-5))&gt;0,INDEX('İzin Planı'!$F$6:$F$35,29-5)&lt;=('Özet'!$C$6+7*12)+6,INDEX('İzin Planı'!$G$6:$G$35,29-5)&gt;=('Özet'!$C$6+7*12)),AND(N(INDEX('İzin Planı'!$I$6:$I$35,29-5))&gt;0,INDEX('İzin Planı'!$I$6:$I$35,29-5)&lt;=('Özet'!$C$6+7*12)+6,INDEX('İzin Planı'!$J$6:$J$35,29-5)&gt;=('Özet'!$C$6+7*12)),AND(N(INDEX('İzin Planı'!$L$6:$L$35,29-5))&gt;0,INDEX('İzin Planı'!$L$6:$L$35,29-5)&lt;=('Özet'!$C$6+7*12)+6,INDEX('İzin Planı'!$M$6:$M$35,29-5)&gt;=('Özet'!$C$6+7*12))),"İ",""))</f>
      </c>
      <c r="P29" s="13">
        <f>IF(INDEX('İzin Planı'!$C$6:$C$35,29-5)="","",IF(OR(AND(N(INDEX('İzin Planı'!$F$6:$F$35,29-5))&gt;0,INDEX('İzin Planı'!$F$6:$F$35,29-5)&lt;=('Özet'!$C$6+7*13)+6,INDEX('İzin Planı'!$G$6:$G$35,29-5)&gt;=('Özet'!$C$6+7*13)),AND(N(INDEX('İzin Planı'!$I$6:$I$35,29-5))&gt;0,INDEX('İzin Planı'!$I$6:$I$35,29-5)&lt;=('Özet'!$C$6+7*13)+6,INDEX('İzin Planı'!$J$6:$J$35,29-5)&gt;=('Özet'!$C$6+7*13)),AND(N(INDEX('İzin Planı'!$L$6:$L$35,29-5))&gt;0,INDEX('İzin Planı'!$L$6:$L$35,29-5)&lt;=('Özet'!$C$6+7*13)+6,INDEX('İzin Planı'!$M$6:$M$35,29-5)&gt;=('Özet'!$C$6+7*13))),"İ",""))</f>
      </c>
      <c r="Q29" s="13">
        <f>IF(INDEX('İzin Planı'!$C$6:$C$35,29-5)="","",IF(OR(AND(N(INDEX('İzin Planı'!$F$6:$F$35,29-5))&gt;0,INDEX('İzin Planı'!$F$6:$F$35,29-5)&lt;=('Özet'!$C$6+7*14)+6,INDEX('İzin Planı'!$G$6:$G$35,29-5)&gt;=('Özet'!$C$6+7*14)),AND(N(INDEX('İzin Planı'!$I$6:$I$35,29-5))&gt;0,INDEX('İzin Planı'!$I$6:$I$35,29-5)&lt;=('Özet'!$C$6+7*14)+6,INDEX('İzin Planı'!$J$6:$J$35,29-5)&gt;=('Özet'!$C$6+7*14)),AND(N(INDEX('İzin Planı'!$L$6:$L$35,29-5))&gt;0,INDEX('İzin Planı'!$L$6:$L$35,29-5)&lt;=('Özet'!$C$6+7*14)+6,INDEX('İzin Planı'!$M$6:$M$35,29-5)&gt;=('Özet'!$C$6+7*14))),"İ",""))</f>
      </c>
      <c r="R29" s="13">
        <f>IF(INDEX('İzin Planı'!$C$6:$C$35,29-5)="","",IF(OR(AND(N(INDEX('İzin Planı'!$F$6:$F$35,29-5))&gt;0,INDEX('İzin Planı'!$F$6:$F$35,29-5)&lt;=('Özet'!$C$6+7*15)+6,INDEX('İzin Planı'!$G$6:$G$35,29-5)&gt;=('Özet'!$C$6+7*15)),AND(N(INDEX('İzin Planı'!$I$6:$I$35,29-5))&gt;0,INDEX('İzin Planı'!$I$6:$I$35,29-5)&lt;=('Özet'!$C$6+7*15)+6,INDEX('İzin Planı'!$J$6:$J$35,29-5)&gt;=('Özet'!$C$6+7*15)),AND(N(INDEX('İzin Planı'!$L$6:$L$35,29-5))&gt;0,INDEX('İzin Planı'!$L$6:$L$35,29-5)&lt;=('Özet'!$C$6+7*15)+6,INDEX('İzin Planı'!$M$6:$M$35,29-5)&gt;=('Özet'!$C$6+7*15))),"İ",""))</f>
      </c>
      <c r="S29" s="13">
        <f>IF(INDEX('İzin Planı'!$C$6:$C$35,29-5)="","",IF(OR(AND(N(INDEX('İzin Planı'!$F$6:$F$35,29-5))&gt;0,INDEX('İzin Planı'!$F$6:$F$35,29-5)&lt;=('Özet'!$C$6+7*16)+6,INDEX('İzin Planı'!$G$6:$G$35,29-5)&gt;=('Özet'!$C$6+7*16)),AND(N(INDEX('İzin Planı'!$I$6:$I$35,29-5))&gt;0,INDEX('İzin Planı'!$I$6:$I$35,29-5)&lt;=('Özet'!$C$6+7*16)+6,INDEX('İzin Planı'!$J$6:$J$35,29-5)&gt;=('Özet'!$C$6+7*16)),AND(N(INDEX('İzin Planı'!$L$6:$L$35,29-5))&gt;0,INDEX('İzin Planı'!$L$6:$L$35,29-5)&lt;=('Özet'!$C$6+7*16)+6,INDEX('İzin Planı'!$M$6:$M$35,29-5)&gt;=('Özet'!$C$6+7*16))),"İ",""))</f>
      </c>
      <c r="T29" s="13">
        <f>IF(INDEX('İzin Planı'!$C$6:$C$35,29-5)="","",IF(OR(AND(N(INDEX('İzin Planı'!$F$6:$F$35,29-5))&gt;0,INDEX('İzin Planı'!$F$6:$F$35,29-5)&lt;=('Özet'!$C$6+7*17)+6,INDEX('İzin Planı'!$G$6:$G$35,29-5)&gt;=('Özet'!$C$6+7*17)),AND(N(INDEX('İzin Planı'!$I$6:$I$35,29-5))&gt;0,INDEX('İzin Planı'!$I$6:$I$35,29-5)&lt;=('Özet'!$C$6+7*17)+6,INDEX('İzin Planı'!$J$6:$J$35,29-5)&gt;=('Özet'!$C$6+7*17)),AND(N(INDEX('İzin Planı'!$L$6:$L$35,29-5))&gt;0,INDEX('İzin Planı'!$L$6:$L$35,29-5)&lt;=('Özet'!$C$6+7*17)+6,INDEX('İzin Planı'!$M$6:$M$35,29-5)&gt;=('Özet'!$C$6+7*17))),"İ",""))</f>
      </c>
      <c r="U29" s="13">
        <f>IF(INDEX('İzin Planı'!$C$6:$C$35,29-5)="","",IF(OR(AND(N(INDEX('İzin Planı'!$F$6:$F$35,29-5))&gt;0,INDEX('İzin Planı'!$F$6:$F$35,29-5)&lt;=('Özet'!$C$6+7*18)+6,INDEX('İzin Planı'!$G$6:$G$35,29-5)&gt;=('Özet'!$C$6+7*18)),AND(N(INDEX('İzin Planı'!$I$6:$I$35,29-5))&gt;0,INDEX('İzin Planı'!$I$6:$I$35,29-5)&lt;=('Özet'!$C$6+7*18)+6,INDEX('İzin Planı'!$J$6:$J$35,29-5)&gt;=('Özet'!$C$6+7*18)),AND(N(INDEX('İzin Planı'!$L$6:$L$35,29-5))&gt;0,INDEX('İzin Planı'!$L$6:$L$35,29-5)&lt;=('Özet'!$C$6+7*18)+6,INDEX('İzin Planı'!$M$6:$M$35,29-5)&gt;=('Özet'!$C$6+7*18))),"İ",""))</f>
      </c>
      <c r="V29" s="13">
        <f>IF(INDEX('İzin Planı'!$C$6:$C$35,29-5)="","",IF(OR(AND(N(INDEX('İzin Planı'!$F$6:$F$35,29-5))&gt;0,INDEX('İzin Planı'!$F$6:$F$35,29-5)&lt;=('Özet'!$C$6+7*19)+6,INDEX('İzin Planı'!$G$6:$G$35,29-5)&gt;=('Özet'!$C$6+7*19)),AND(N(INDEX('İzin Planı'!$I$6:$I$35,29-5))&gt;0,INDEX('İzin Planı'!$I$6:$I$35,29-5)&lt;=('Özet'!$C$6+7*19)+6,INDEX('İzin Planı'!$J$6:$J$35,29-5)&gt;=('Özet'!$C$6+7*19)),AND(N(INDEX('İzin Planı'!$L$6:$L$35,29-5))&gt;0,INDEX('İzin Planı'!$L$6:$L$35,29-5)&lt;=('Özet'!$C$6+7*19)+6,INDEX('İzin Planı'!$M$6:$M$35,29-5)&gt;=('Özet'!$C$6+7*19))),"İ",""))</f>
      </c>
      <c r="W29" s="13">
        <f>IF(INDEX('İzin Planı'!$C$6:$C$35,29-5)="","",IF(OR(AND(N(INDEX('İzin Planı'!$F$6:$F$35,29-5))&gt;0,INDEX('İzin Planı'!$F$6:$F$35,29-5)&lt;=('Özet'!$C$6+7*20)+6,INDEX('İzin Planı'!$G$6:$G$35,29-5)&gt;=('Özet'!$C$6+7*20)),AND(N(INDEX('İzin Planı'!$I$6:$I$35,29-5))&gt;0,INDEX('İzin Planı'!$I$6:$I$35,29-5)&lt;=('Özet'!$C$6+7*20)+6,INDEX('İzin Planı'!$J$6:$J$35,29-5)&gt;=('Özet'!$C$6+7*20)),AND(N(INDEX('İzin Planı'!$L$6:$L$35,29-5))&gt;0,INDEX('İzin Planı'!$L$6:$L$35,29-5)&lt;=('Özet'!$C$6+7*20)+6,INDEX('İzin Planı'!$M$6:$M$35,29-5)&gt;=('Özet'!$C$6+7*20))),"İ",""))</f>
      </c>
      <c r="X29" s="13">
        <f>IF(INDEX('İzin Planı'!$C$6:$C$35,29-5)="","",IF(OR(AND(N(INDEX('İzin Planı'!$F$6:$F$35,29-5))&gt;0,INDEX('İzin Planı'!$F$6:$F$35,29-5)&lt;=('Özet'!$C$6+7*21)+6,INDEX('İzin Planı'!$G$6:$G$35,29-5)&gt;=('Özet'!$C$6+7*21)),AND(N(INDEX('İzin Planı'!$I$6:$I$35,29-5))&gt;0,INDEX('İzin Planı'!$I$6:$I$35,29-5)&lt;=('Özet'!$C$6+7*21)+6,INDEX('İzin Planı'!$J$6:$J$35,29-5)&gt;=('Özet'!$C$6+7*21)),AND(N(INDEX('İzin Planı'!$L$6:$L$35,29-5))&gt;0,INDEX('İzin Planı'!$L$6:$L$35,29-5)&lt;=('Özet'!$C$6+7*21)+6,INDEX('İzin Planı'!$M$6:$M$35,29-5)&gt;=('Özet'!$C$6+7*21))),"İ",""))</f>
      </c>
      <c r="Y29" s="13">
        <f>IF(INDEX('İzin Planı'!$C$6:$C$35,29-5)="","",IF(OR(AND(N(INDEX('İzin Planı'!$F$6:$F$35,29-5))&gt;0,INDEX('İzin Planı'!$F$6:$F$35,29-5)&lt;=('Özet'!$C$6+7*22)+6,INDEX('İzin Planı'!$G$6:$G$35,29-5)&gt;=('Özet'!$C$6+7*22)),AND(N(INDEX('İzin Planı'!$I$6:$I$35,29-5))&gt;0,INDEX('İzin Planı'!$I$6:$I$35,29-5)&lt;=('Özet'!$C$6+7*22)+6,INDEX('İzin Planı'!$J$6:$J$35,29-5)&gt;=('Özet'!$C$6+7*22)),AND(N(INDEX('İzin Planı'!$L$6:$L$35,29-5))&gt;0,INDEX('İzin Planı'!$L$6:$L$35,29-5)&lt;=('Özet'!$C$6+7*22)+6,INDEX('İzin Planı'!$M$6:$M$35,29-5)&gt;=('Özet'!$C$6+7*22))),"İ",""))</f>
      </c>
      <c r="Z29" s="13">
        <f>IF(INDEX('İzin Planı'!$C$6:$C$35,29-5)="","",IF(OR(AND(N(INDEX('İzin Planı'!$F$6:$F$35,29-5))&gt;0,INDEX('İzin Planı'!$F$6:$F$35,29-5)&lt;=('Özet'!$C$6+7*23)+6,INDEX('İzin Planı'!$G$6:$G$35,29-5)&gt;=('Özet'!$C$6+7*23)),AND(N(INDEX('İzin Planı'!$I$6:$I$35,29-5))&gt;0,INDEX('İzin Planı'!$I$6:$I$35,29-5)&lt;=('Özet'!$C$6+7*23)+6,INDEX('İzin Planı'!$J$6:$J$35,29-5)&gt;=('Özet'!$C$6+7*23)),AND(N(INDEX('İzin Planı'!$L$6:$L$35,29-5))&gt;0,INDEX('İzin Planı'!$L$6:$L$35,29-5)&lt;=('Özet'!$C$6+7*23)+6,INDEX('İzin Planı'!$M$6:$M$35,29-5)&gt;=('Özet'!$C$6+7*23))),"İ",""))</f>
      </c>
      <c r="AA29" s="13">
        <f>IF(INDEX('İzin Planı'!$C$6:$C$35,29-5)="","",IF(OR(AND(N(INDEX('İzin Planı'!$F$6:$F$35,29-5))&gt;0,INDEX('İzin Planı'!$F$6:$F$35,29-5)&lt;=('Özet'!$C$6+7*24)+6,INDEX('İzin Planı'!$G$6:$G$35,29-5)&gt;=('Özet'!$C$6+7*24)),AND(N(INDEX('İzin Planı'!$I$6:$I$35,29-5))&gt;0,INDEX('İzin Planı'!$I$6:$I$35,29-5)&lt;=('Özet'!$C$6+7*24)+6,INDEX('İzin Planı'!$J$6:$J$35,29-5)&gt;=('Özet'!$C$6+7*24)),AND(N(INDEX('İzin Planı'!$L$6:$L$35,29-5))&gt;0,INDEX('İzin Planı'!$L$6:$L$35,29-5)&lt;=('Özet'!$C$6+7*24)+6,INDEX('İzin Planı'!$M$6:$M$35,29-5)&gt;=('Özet'!$C$6+7*24))),"İ",""))</f>
      </c>
      <c r="AB29" s="13">
        <f>IF(INDEX('İzin Planı'!$C$6:$C$35,29-5)="","",IF(OR(AND(N(INDEX('İzin Planı'!$F$6:$F$35,29-5))&gt;0,INDEX('İzin Planı'!$F$6:$F$35,29-5)&lt;=('Özet'!$C$6+7*25)+6,INDEX('İzin Planı'!$G$6:$G$35,29-5)&gt;=('Özet'!$C$6+7*25)),AND(N(INDEX('İzin Planı'!$I$6:$I$35,29-5))&gt;0,INDEX('İzin Planı'!$I$6:$I$35,29-5)&lt;=('Özet'!$C$6+7*25)+6,INDEX('İzin Planı'!$J$6:$J$35,29-5)&gt;=('Özet'!$C$6+7*25)),AND(N(INDEX('İzin Planı'!$L$6:$L$35,29-5))&gt;0,INDEX('İzin Planı'!$L$6:$L$35,29-5)&lt;=('Özet'!$C$6+7*25)+6,INDEX('İzin Planı'!$M$6:$M$35,29-5)&gt;=('Özet'!$C$6+7*25))),"İ",""))</f>
      </c>
      <c r="AC29" s="13">
        <f>IF(INDEX('İzin Planı'!$C$6:$C$35,29-5)="","",IF(OR(AND(N(INDEX('İzin Planı'!$F$6:$F$35,29-5))&gt;0,INDEX('İzin Planı'!$F$6:$F$35,29-5)&lt;=('Özet'!$C$6+7*26)+6,INDEX('İzin Planı'!$G$6:$G$35,29-5)&gt;=('Özet'!$C$6+7*26)),AND(N(INDEX('İzin Planı'!$I$6:$I$35,29-5))&gt;0,INDEX('İzin Planı'!$I$6:$I$35,29-5)&lt;=('Özet'!$C$6+7*26)+6,INDEX('İzin Planı'!$J$6:$J$35,29-5)&gt;=('Özet'!$C$6+7*26)),AND(N(INDEX('İzin Planı'!$L$6:$L$35,29-5))&gt;0,INDEX('İzin Planı'!$L$6:$L$35,29-5)&lt;=('Özet'!$C$6+7*26)+6,INDEX('İzin Planı'!$M$6:$M$35,29-5)&gt;=('Özet'!$C$6+7*26))),"İ",""))</f>
      </c>
      <c r="AD29" s="13">
        <f>IF(INDEX('İzin Planı'!$C$6:$C$35,29-5)="","",IF(OR(AND(N(INDEX('İzin Planı'!$F$6:$F$35,29-5))&gt;0,INDEX('İzin Planı'!$F$6:$F$35,29-5)&lt;=('Özet'!$C$6+7*27)+6,INDEX('İzin Planı'!$G$6:$G$35,29-5)&gt;=('Özet'!$C$6+7*27)),AND(N(INDEX('İzin Planı'!$I$6:$I$35,29-5))&gt;0,INDEX('İzin Planı'!$I$6:$I$35,29-5)&lt;=('Özet'!$C$6+7*27)+6,INDEX('İzin Planı'!$J$6:$J$35,29-5)&gt;=('Özet'!$C$6+7*27)),AND(N(INDEX('İzin Planı'!$L$6:$L$35,29-5))&gt;0,INDEX('İzin Planı'!$L$6:$L$35,29-5)&lt;=('Özet'!$C$6+7*27)+6,INDEX('İzin Planı'!$M$6:$M$35,29-5)&gt;=('Özet'!$C$6+7*27))),"İ",""))</f>
      </c>
      <c r="AE29" s="13">
        <f>IF(INDEX('İzin Planı'!$C$6:$C$35,29-5)="","",IF(OR(AND(N(INDEX('İzin Planı'!$F$6:$F$35,29-5))&gt;0,INDEX('İzin Planı'!$F$6:$F$35,29-5)&lt;=('Özet'!$C$6+7*28)+6,INDEX('İzin Planı'!$G$6:$G$35,29-5)&gt;=('Özet'!$C$6+7*28)),AND(N(INDEX('İzin Planı'!$I$6:$I$35,29-5))&gt;0,INDEX('İzin Planı'!$I$6:$I$35,29-5)&lt;=('Özet'!$C$6+7*28)+6,INDEX('İzin Planı'!$J$6:$J$35,29-5)&gt;=('Özet'!$C$6+7*28)),AND(N(INDEX('İzin Planı'!$L$6:$L$35,29-5))&gt;0,INDEX('İzin Planı'!$L$6:$L$35,29-5)&lt;=('Özet'!$C$6+7*28)+6,INDEX('İzin Planı'!$M$6:$M$35,29-5)&gt;=('Özet'!$C$6+7*28))),"İ",""))</f>
      </c>
      <c r="AF29" s="13">
        <f>IF(INDEX('İzin Planı'!$C$6:$C$35,29-5)="","",IF(OR(AND(N(INDEX('İzin Planı'!$F$6:$F$35,29-5))&gt;0,INDEX('İzin Planı'!$F$6:$F$35,29-5)&lt;=('Özet'!$C$6+7*29)+6,INDEX('İzin Planı'!$G$6:$G$35,29-5)&gt;=('Özet'!$C$6+7*29)),AND(N(INDEX('İzin Planı'!$I$6:$I$35,29-5))&gt;0,INDEX('İzin Planı'!$I$6:$I$35,29-5)&lt;=('Özet'!$C$6+7*29)+6,INDEX('İzin Planı'!$J$6:$J$35,29-5)&gt;=('Özet'!$C$6+7*29)),AND(N(INDEX('İzin Planı'!$L$6:$L$35,29-5))&gt;0,INDEX('İzin Planı'!$L$6:$L$35,29-5)&lt;=('Özet'!$C$6+7*29)+6,INDEX('İzin Planı'!$M$6:$M$35,29-5)&gt;=('Özet'!$C$6+7*29))),"İ",""))</f>
      </c>
      <c r="AG29" s="13">
        <f>IF(INDEX('İzin Planı'!$C$6:$C$35,29-5)="","",IF(OR(AND(N(INDEX('İzin Planı'!$F$6:$F$35,29-5))&gt;0,INDEX('İzin Planı'!$F$6:$F$35,29-5)&lt;=('Özet'!$C$6+7*30)+6,INDEX('İzin Planı'!$G$6:$G$35,29-5)&gt;=('Özet'!$C$6+7*30)),AND(N(INDEX('İzin Planı'!$I$6:$I$35,29-5))&gt;0,INDEX('İzin Planı'!$I$6:$I$35,29-5)&lt;=('Özet'!$C$6+7*30)+6,INDEX('İzin Planı'!$J$6:$J$35,29-5)&gt;=('Özet'!$C$6+7*30)),AND(N(INDEX('İzin Planı'!$L$6:$L$35,29-5))&gt;0,INDEX('İzin Planı'!$L$6:$L$35,29-5)&lt;=('Özet'!$C$6+7*30)+6,INDEX('İzin Planı'!$M$6:$M$35,29-5)&gt;=('Özet'!$C$6+7*30))),"İ",""))</f>
      </c>
      <c r="AH29" s="13">
        <f>IF(INDEX('İzin Planı'!$C$6:$C$35,29-5)="","",IF(OR(AND(N(INDEX('İzin Planı'!$F$6:$F$35,29-5))&gt;0,INDEX('İzin Planı'!$F$6:$F$35,29-5)&lt;=('Özet'!$C$6+7*31)+6,INDEX('İzin Planı'!$G$6:$G$35,29-5)&gt;=('Özet'!$C$6+7*31)),AND(N(INDEX('İzin Planı'!$I$6:$I$35,29-5))&gt;0,INDEX('İzin Planı'!$I$6:$I$35,29-5)&lt;=('Özet'!$C$6+7*31)+6,INDEX('İzin Planı'!$J$6:$J$35,29-5)&gt;=('Özet'!$C$6+7*31)),AND(N(INDEX('İzin Planı'!$L$6:$L$35,29-5))&gt;0,INDEX('İzin Planı'!$L$6:$L$35,29-5)&lt;=('Özet'!$C$6+7*31)+6,INDEX('İzin Planı'!$M$6:$M$35,29-5)&gt;=('Özet'!$C$6+7*31))),"İ",""))</f>
      </c>
      <c r="AI29" s="13">
        <f>IF(INDEX('İzin Planı'!$C$6:$C$35,29-5)="","",IF(OR(AND(N(INDEX('İzin Planı'!$F$6:$F$35,29-5))&gt;0,INDEX('İzin Planı'!$F$6:$F$35,29-5)&lt;=('Özet'!$C$6+7*32)+6,INDEX('İzin Planı'!$G$6:$G$35,29-5)&gt;=('Özet'!$C$6+7*32)),AND(N(INDEX('İzin Planı'!$I$6:$I$35,29-5))&gt;0,INDEX('İzin Planı'!$I$6:$I$35,29-5)&lt;=('Özet'!$C$6+7*32)+6,INDEX('İzin Planı'!$J$6:$J$35,29-5)&gt;=('Özet'!$C$6+7*32)),AND(N(INDEX('İzin Planı'!$L$6:$L$35,29-5))&gt;0,INDEX('İzin Planı'!$L$6:$L$35,29-5)&lt;=('Özet'!$C$6+7*32)+6,INDEX('İzin Planı'!$M$6:$M$35,29-5)&gt;=('Özet'!$C$6+7*32))),"İ",""))</f>
      </c>
      <c r="AJ29" s="13">
        <f>IF(INDEX('İzin Planı'!$C$6:$C$35,29-5)="","",IF(OR(AND(N(INDEX('İzin Planı'!$F$6:$F$35,29-5))&gt;0,INDEX('İzin Planı'!$F$6:$F$35,29-5)&lt;=('Özet'!$C$6+7*33)+6,INDEX('İzin Planı'!$G$6:$G$35,29-5)&gt;=('Özet'!$C$6+7*33)),AND(N(INDEX('İzin Planı'!$I$6:$I$35,29-5))&gt;0,INDEX('İzin Planı'!$I$6:$I$35,29-5)&lt;=('Özet'!$C$6+7*33)+6,INDEX('İzin Planı'!$J$6:$J$35,29-5)&gt;=('Özet'!$C$6+7*33)),AND(N(INDEX('İzin Planı'!$L$6:$L$35,29-5))&gt;0,INDEX('İzin Planı'!$L$6:$L$35,29-5)&lt;=('Özet'!$C$6+7*33)+6,INDEX('İzin Planı'!$M$6:$M$35,29-5)&gt;=('Özet'!$C$6+7*33))),"İ",""))</f>
      </c>
      <c r="AK29" s="13">
        <f>IF(INDEX('İzin Planı'!$C$6:$C$35,29-5)="","",IF(OR(AND(N(INDEX('İzin Planı'!$F$6:$F$35,29-5))&gt;0,INDEX('İzin Planı'!$F$6:$F$35,29-5)&lt;=('Özet'!$C$6+7*34)+6,INDEX('İzin Planı'!$G$6:$G$35,29-5)&gt;=('Özet'!$C$6+7*34)),AND(N(INDEX('İzin Planı'!$I$6:$I$35,29-5))&gt;0,INDEX('İzin Planı'!$I$6:$I$35,29-5)&lt;=('Özet'!$C$6+7*34)+6,INDEX('İzin Planı'!$J$6:$J$35,29-5)&gt;=('Özet'!$C$6+7*34)),AND(N(INDEX('İzin Planı'!$L$6:$L$35,29-5))&gt;0,INDEX('İzin Planı'!$L$6:$L$35,29-5)&lt;=('Özet'!$C$6+7*34)+6,INDEX('İzin Planı'!$M$6:$M$35,29-5)&gt;=('Özet'!$C$6+7*34))),"İ",""))</f>
      </c>
      <c r="AL29" s="13">
        <f>IF(INDEX('İzin Planı'!$C$6:$C$35,29-5)="","",IF(OR(AND(N(INDEX('İzin Planı'!$F$6:$F$35,29-5))&gt;0,INDEX('İzin Planı'!$F$6:$F$35,29-5)&lt;=('Özet'!$C$6+7*35)+6,INDEX('İzin Planı'!$G$6:$G$35,29-5)&gt;=('Özet'!$C$6+7*35)),AND(N(INDEX('İzin Planı'!$I$6:$I$35,29-5))&gt;0,INDEX('İzin Planı'!$I$6:$I$35,29-5)&lt;=('Özet'!$C$6+7*35)+6,INDEX('İzin Planı'!$J$6:$J$35,29-5)&gt;=('Özet'!$C$6+7*35)),AND(N(INDEX('İzin Planı'!$L$6:$L$35,29-5))&gt;0,INDEX('İzin Planı'!$L$6:$L$35,29-5)&lt;=('Özet'!$C$6+7*35)+6,INDEX('İzin Planı'!$M$6:$M$35,29-5)&gt;=('Özet'!$C$6+7*35))),"İ",""))</f>
      </c>
      <c r="AM29" s="13">
        <f>IF(INDEX('İzin Planı'!$C$6:$C$35,29-5)="","",IF(OR(AND(N(INDEX('İzin Planı'!$F$6:$F$35,29-5))&gt;0,INDEX('İzin Planı'!$F$6:$F$35,29-5)&lt;=('Özet'!$C$6+7*36)+6,INDEX('İzin Planı'!$G$6:$G$35,29-5)&gt;=('Özet'!$C$6+7*36)),AND(N(INDEX('İzin Planı'!$I$6:$I$35,29-5))&gt;0,INDEX('İzin Planı'!$I$6:$I$35,29-5)&lt;=('Özet'!$C$6+7*36)+6,INDEX('İzin Planı'!$J$6:$J$35,29-5)&gt;=('Özet'!$C$6+7*36)),AND(N(INDEX('İzin Planı'!$L$6:$L$35,29-5))&gt;0,INDEX('İzin Planı'!$L$6:$L$35,29-5)&lt;=('Özet'!$C$6+7*36)+6,INDEX('İzin Planı'!$M$6:$M$35,29-5)&gt;=('Özet'!$C$6+7*36))),"İ",""))</f>
      </c>
      <c r="AN29" s="13">
        <f>IF(INDEX('İzin Planı'!$C$6:$C$35,29-5)="","",IF(OR(AND(N(INDEX('İzin Planı'!$F$6:$F$35,29-5))&gt;0,INDEX('İzin Planı'!$F$6:$F$35,29-5)&lt;=('Özet'!$C$6+7*37)+6,INDEX('İzin Planı'!$G$6:$G$35,29-5)&gt;=('Özet'!$C$6+7*37)),AND(N(INDEX('İzin Planı'!$I$6:$I$35,29-5))&gt;0,INDEX('İzin Planı'!$I$6:$I$35,29-5)&lt;=('Özet'!$C$6+7*37)+6,INDEX('İzin Planı'!$J$6:$J$35,29-5)&gt;=('Özet'!$C$6+7*37)),AND(N(INDEX('İzin Planı'!$L$6:$L$35,29-5))&gt;0,INDEX('İzin Planı'!$L$6:$L$35,29-5)&lt;=('Özet'!$C$6+7*37)+6,INDEX('İzin Planı'!$M$6:$M$35,29-5)&gt;=('Özet'!$C$6+7*37))),"İ",""))</f>
      </c>
      <c r="AO29" s="13">
        <f>IF(INDEX('İzin Planı'!$C$6:$C$35,29-5)="","",IF(OR(AND(N(INDEX('İzin Planı'!$F$6:$F$35,29-5))&gt;0,INDEX('İzin Planı'!$F$6:$F$35,29-5)&lt;=('Özet'!$C$6+7*38)+6,INDEX('İzin Planı'!$G$6:$G$35,29-5)&gt;=('Özet'!$C$6+7*38)),AND(N(INDEX('İzin Planı'!$I$6:$I$35,29-5))&gt;0,INDEX('İzin Planı'!$I$6:$I$35,29-5)&lt;=('Özet'!$C$6+7*38)+6,INDEX('İzin Planı'!$J$6:$J$35,29-5)&gt;=('Özet'!$C$6+7*38)),AND(N(INDEX('İzin Planı'!$L$6:$L$35,29-5))&gt;0,INDEX('İzin Planı'!$L$6:$L$35,29-5)&lt;=('Özet'!$C$6+7*38)+6,INDEX('İzin Planı'!$M$6:$M$35,29-5)&gt;=('Özet'!$C$6+7*38))),"İ",""))</f>
      </c>
      <c r="AP29" s="13">
        <f>IF(INDEX('İzin Planı'!$C$6:$C$35,29-5)="","",IF(OR(AND(N(INDEX('İzin Planı'!$F$6:$F$35,29-5))&gt;0,INDEX('İzin Planı'!$F$6:$F$35,29-5)&lt;=('Özet'!$C$6+7*39)+6,INDEX('İzin Planı'!$G$6:$G$35,29-5)&gt;=('Özet'!$C$6+7*39)),AND(N(INDEX('İzin Planı'!$I$6:$I$35,29-5))&gt;0,INDEX('İzin Planı'!$I$6:$I$35,29-5)&lt;=('Özet'!$C$6+7*39)+6,INDEX('İzin Planı'!$J$6:$J$35,29-5)&gt;=('Özet'!$C$6+7*39)),AND(N(INDEX('İzin Planı'!$L$6:$L$35,29-5))&gt;0,INDEX('İzin Planı'!$L$6:$L$35,29-5)&lt;=('Özet'!$C$6+7*39)+6,INDEX('İzin Planı'!$M$6:$M$35,29-5)&gt;=('Özet'!$C$6+7*39))),"İ",""))</f>
      </c>
      <c r="AQ29" s="13">
        <f>IF(INDEX('İzin Planı'!$C$6:$C$35,29-5)="","",IF(OR(AND(N(INDEX('İzin Planı'!$F$6:$F$35,29-5))&gt;0,INDEX('İzin Planı'!$F$6:$F$35,29-5)&lt;=('Özet'!$C$6+7*40)+6,INDEX('İzin Planı'!$G$6:$G$35,29-5)&gt;=('Özet'!$C$6+7*40)),AND(N(INDEX('İzin Planı'!$I$6:$I$35,29-5))&gt;0,INDEX('İzin Planı'!$I$6:$I$35,29-5)&lt;=('Özet'!$C$6+7*40)+6,INDEX('İzin Planı'!$J$6:$J$35,29-5)&gt;=('Özet'!$C$6+7*40)),AND(N(INDEX('İzin Planı'!$L$6:$L$35,29-5))&gt;0,INDEX('İzin Planı'!$L$6:$L$35,29-5)&lt;=('Özet'!$C$6+7*40)+6,INDEX('İzin Planı'!$M$6:$M$35,29-5)&gt;=('Özet'!$C$6+7*40))),"İ",""))</f>
      </c>
      <c r="AR29" s="13">
        <f>IF(INDEX('İzin Planı'!$C$6:$C$35,29-5)="","",IF(OR(AND(N(INDEX('İzin Planı'!$F$6:$F$35,29-5))&gt;0,INDEX('İzin Planı'!$F$6:$F$35,29-5)&lt;=('Özet'!$C$6+7*41)+6,INDEX('İzin Planı'!$G$6:$G$35,29-5)&gt;=('Özet'!$C$6+7*41)),AND(N(INDEX('İzin Planı'!$I$6:$I$35,29-5))&gt;0,INDEX('İzin Planı'!$I$6:$I$35,29-5)&lt;=('Özet'!$C$6+7*41)+6,INDEX('İzin Planı'!$J$6:$J$35,29-5)&gt;=('Özet'!$C$6+7*41)),AND(N(INDEX('İzin Planı'!$L$6:$L$35,29-5))&gt;0,INDEX('İzin Planı'!$L$6:$L$35,29-5)&lt;=('Özet'!$C$6+7*41)+6,INDEX('İzin Planı'!$M$6:$M$35,29-5)&gt;=('Özet'!$C$6+7*41))),"İ",""))</f>
      </c>
      <c r="AS29" s="13">
        <f>IF(INDEX('İzin Planı'!$C$6:$C$35,29-5)="","",IF(OR(AND(N(INDEX('İzin Planı'!$F$6:$F$35,29-5))&gt;0,INDEX('İzin Planı'!$F$6:$F$35,29-5)&lt;=('Özet'!$C$6+7*42)+6,INDEX('İzin Planı'!$G$6:$G$35,29-5)&gt;=('Özet'!$C$6+7*42)),AND(N(INDEX('İzin Planı'!$I$6:$I$35,29-5))&gt;0,INDEX('İzin Planı'!$I$6:$I$35,29-5)&lt;=('Özet'!$C$6+7*42)+6,INDEX('İzin Planı'!$J$6:$J$35,29-5)&gt;=('Özet'!$C$6+7*42)),AND(N(INDEX('İzin Planı'!$L$6:$L$35,29-5))&gt;0,INDEX('İzin Planı'!$L$6:$L$35,29-5)&lt;=('Özet'!$C$6+7*42)+6,INDEX('İzin Planı'!$M$6:$M$35,29-5)&gt;=('Özet'!$C$6+7*42))),"İ",""))</f>
      </c>
      <c r="AT29" s="13">
        <f>IF(INDEX('İzin Planı'!$C$6:$C$35,29-5)="","",IF(OR(AND(N(INDEX('İzin Planı'!$F$6:$F$35,29-5))&gt;0,INDEX('İzin Planı'!$F$6:$F$35,29-5)&lt;=('Özet'!$C$6+7*43)+6,INDEX('İzin Planı'!$G$6:$G$35,29-5)&gt;=('Özet'!$C$6+7*43)),AND(N(INDEX('İzin Planı'!$I$6:$I$35,29-5))&gt;0,INDEX('İzin Planı'!$I$6:$I$35,29-5)&lt;=('Özet'!$C$6+7*43)+6,INDEX('İzin Planı'!$J$6:$J$35,29-5)&gt;=('Özet'!$C$6+7*43)),AND(N(INDEX('İzin Planı'!$L$6:$L$35,29-5))&gt;0,INDEX('İzin Planı'!$L$6:$L$35,29-5)&lt;=('Özet'!$C$6+7*43)+6,INDEX('İzin Planı'!$M$6:$M$35,29-5)&gt;=('Özet'!$C$6+7*43))),"İ",""))</f>
      </c>
      <c r="AU29" s="13">
        <f>IF(INDEX('İzin Planı'!$C$6:$C$35,29-5)="","",IF(OR(AND(N(INDEX('İzin Planı'!$F$6:$F$35,29-5))&gt;0,INDEX('İzin Planı'!$F$6:$F$35,29-5)&lt;=('Özet'!$C$6+7*44)+6,INDEX('İzin Planı'!$G$6:$G$35,29-5)&gt;=('Özet'!$C$6+7*44)),AND(N(INDEX('İzin Planı'!$I$6:$I$35,29-5))&gt;0,INDEX('İzin Planı'!$I$6:$I$35,29-5)&lt;=('Özet'!$C$6+7*44)+6,INDEX('İzin Planı'!$J$6:$J$35,29-5)&gt;=('Özet'!$C$6+7*44)),AND(N(INDEX('İzin Planı'!$L$6:$L$35,29-5))&gt;0,INDEX('İzin Planı'!$L$6:$L$35,29-5)&lt;=('Özet'!$C$6+7*44)+6,INDEX('İzin Planı'!$M$6:$M$35,29-5)&gt;=('Özet'!$C$6+7*44))),"İ",""))</f>
      </c>
      <c r="AV29" s="13">
        <f>IF(INDEX('İzin Planı'!$C$6:$C$35,29-5)="","",IF(OR(AND(N(INDEX('İzin Planı'!$F$6:$F$35,29-5))&gt;0,INDEX('İzin Planı'!$F$6:$F$35,29-5)&lt;=('Özet'!$C$6+7*45)+6,INDEX('İzin Planı'!$G$6:$G$35,29-5)&gt;=('Özet'!$C$6+7*45)),AND(N(INDEX('İzin Planı'!$I$6:$I$35,29-5))&gt;0,INDEX('İzin Planı'!$I$6:$I$35,29-5)&lt;=('Özet'!$C$6+7*45)+6,INDEX('İzin Planı'!$J$6:$J$35,29-5)&gt;=('Özet'!$C$6+7*45)),AND(N(INDEX('İzin Planı'!$L$6:$L$35,29-5))&gt;0,INDEX('İzin Planı'!$L$6:$L$35,29-5)&lt;=('Özet'!$C$6+7*45)+6,INDEX('İzin Planı'!$M$6:$M$35,29-5)&gt;=('Özet'!$C$6+7*45))),"İ",""))</f>
      </c>
      <c r="AW29" s="13">
        <f>IF(INDEX('İzin Planı'!$C$6:$C$35,29-5)="","",IF(OR(AND(N(INDEX('İzin Planı'!$F$6:$F$35,29-5))&gt;0,INDEX('İzin Planı'!$F$6:$F$35,29-5)&lt;=('Özet'!$C$6+7*46)+6,INDEX('İzin Planı'!$G$6:$G$35,29-5)&gt;=('Özet'!$C$6+7*46)),AND(N(INDEX('İzin Planı'!$I$6:$I$35,29-5))&gt;0,INDEX('İzin Planı'!$I$6:$I$35,29-5)&lt;=('Özet'!$C$6+7*46)+6,INDEX('İzin Planı'!$J$6:$J$35,29-5)&gt;=('Özet'!$C$6+7*46)),AND(N(INDEX('İzin Planı'!$L$6:$L$35,29-5))&gt;0,INDEX('İzin Planı'!$L$6:$L$35,29-5)&lt;=('Özet'!$C$6+7*46)+6,INDEX('İzin Planı'!$M$6:$M$35,29-5)&gt;=('Özet'!$C$6+7*46))),"İ",""))</f>
      </c>
      <c r="AX29" s="13">
        <f>IF(INDEX('İzin Planı'!$C$6:$C$35,29-5)="","",IF(OR(AND(N(INDEX('İzin Planı'!$F$6:$F$35,29-5))&gt;0,INDEX('İzin Planı'!$F$6:$F$35,29-5)&lt;=('Özet'!$C$6+7*47)+6,INDEX('İzin Planı'!$G$6:$G$35,29-5)&gt;=('Özet'!$C$6+7*47)),AND(N(INDEX('İzin Planı'!$I$6:$I$35,29-5))&gt;0,INDEX('İzin Planı'!$I$6:$I$35,29-5)&lt;=('Özet'!$C$6+7*47)+6,INDEX('İzin Planı'!$J$6:$J$35,29-5)&gt;=('Özet'!$C$6+7*47)),AND(N(INDEX('İzin Planı'!$L$6:$L$35,29-5))&gt;0,INDEX('İzin Planı'!$L$6:$L$35,29-5)&lt;=('Özet'!$C$6+7*47)+6,INDEX('İzin Planı'!$M$6:$M$35,29-5)&gt;=('Özet'!$C$6+7*47))),"İ",""))</f>
      </c>
      <c r="AY29" s="13">
        <f>IF(INDEX('İzin Planı'!$C$6:$C$35,29-5)="","",IF(OR(AND(N(INDEX('İzin Planı'!$F$6:$F$35,29-5))&gt;0,INDEX('İzin Planı'!$F$6:$F$35,29-5)&lt;=('Özet'!$C$6+7*48)+6,INDEX('İzin Planı'!$G$6:$G$35,29-5)&gt;=('Özet'!$C$6+7*48)),AND(N(INDEX('İzin Planı'!$I$6:$I$35,29-5))&gt;0,INDEX('İzin Planı'!$I$6:$I$35,29-5)&lt;=('Özet'!$C$6+7*48)+6,INDEX('İzin Planı'!$J$6:$J$35,29-5)&gt;=('Özet'!$C$6+7*48)),AND(N(INDEX('İzin Planı'!$L$6:$L$35,29-5))&gt;0,INDEX('İzin Planı'!$L$6:$L$35,29-5)&lt;=('Özet'!$C$6+7*48)+6,INDEX('İzin Planı'!$M$6:$M$35,29-5)&gt;=('Özet'!$C$6+7*48))),"İ",""))</f>
      </c>
      <c r="AZ29" s="13">
        <f>IF(INDEX('İzin Planı'!$C$6:$C$35,29-5)="","",IF(OR(AND(N(INDEX('İzin Planı'!$F$6:$F$35,29-5))&gt;0,INDEX('İzin Planı'!$F$6:$F$35,29-5)&lt;=('Özet'!$C$6+7*49)+6,INDEX('İzin Planı'!$G$6:$G$35,29-5)&gt;=('Özet'!$C$6+7*49)),AND(N(INDEX('İzin Planı'!$I$6:$I$35,29-5))&gt;0,INDEX('İzin Planı'!$I$6:$I$35,29-5)&lt;=('Özet'!$C$6+7*49)+6,INDEX('İzin Planı'!$J$6:$J$35,29-5)&gt;=('Özet'!$C$6+7*49)),AND(N(INDEX('İzin Planı'!$L$6:$L$35,29-5))&gt;0,INDEX('İzin Planı'!$L$6:$L$35,29-5)&lt;=('Özet'!$C$6+7*49)+6,INDEX('İzin Planı'!$M$6:$M$35,29-5)&gt;=('Özet'!$C$6+7*49))),"İ",""))</f>
      </c>
      <c r="BA29" s="13">
        <f>IF(INDEX('İzin Planı'!$C$6:$C$35,29-5)="","",IF(OR(AND(N(INDEX('İzin Planı'!$F$6:$F$35,29-5))&gt;0,INDEX('İzin Planı'!$F$6:$F$35,29-5)&lt;=('Özet'!$C$6+7*50)+6,INDEX('İzin Planı'!$G$6:$G$35,29-5)&gt;=('Özet'!$C$6+7*50)),AND(N(INDEX('İzin Planı'!$I$6:$I$35,29-5))&gt;0,INDEX('İzin Planı'!$I$6:$I$35,29-5)&lt;=('Özet'!$C$6+7*50)+6,INDEX('İzin Planı'!$J$6:$J$35,29-5)&gt;=('Özet'!$C$6+7*50)),AND(N(INDEX('İzin Planı'!$L$6:$L$35,29-5))&gt;0,INDEX('İzin Planı'!$L$6:$L$35,29-5)&lt;=('Özet'!$C$6+7*50)+6,INDEX('İzin Planı'!$M$6:$M$35,29-5)&gt;=('Özet'!$C$6+7*50))),"İ",""))</f>
      </c>
      <c r="BB29" s="13">
        <f>IF(INDEX('İzin Planı'!$C$6:$C$35,29-5)="","",IF(OR(AND(N(INDEX('İzin Planı'!$F$6:$F$35,29-5))&gt;0,INDEX('İzin Planı'!$F$6:$F$35,29-5)&lt;=('Özet'!$C$6+7*51)+6,INDEX('İzin Planı'!$G$6:$G$35,29-5)&gt;=('Özet'!$C$6+7*51)),AND(N(INDEX('İzin Planı'!$I$6:$I$35,29-5))&gt;0,INDEX('İzin Planı'!$I$6:$I$35,29-5)&lt;=('Özet'!$C$6+7*51)+6,INDEX('İzin Planı'!$J$6:$J$35,29-5)&gt;=('Özet'!$C$6+7*51)),AND(N(INDEX('İzin Planı'!$L$6:$L$35,29-5))&gt;0,INDEX('İzin Planı'!$L$6:$L$35,29-5)&lt;=('Özet'!$C$6+7*51)+6,INDEX('İzin Planı'!$M$6:$M$35,29-5)&gt;=('Özet'!$C$6+7*51))),"İ",""))</f>
      </c>
      <c r="BC29" s="13">
        <f>IF(INDEX('İzin Planı'!$C$6:$C$35,29-5)="","",IF(OR(AND(N(INDEX('İzin Planı'!$F$6:$F$35,29-5))&gt;0,INDEX('İzin Planı'!$F$6:$F$35,29-5)&lt;=('Özet'!$C$6+7*52)+6,INDEX('İzin Planı'!$G$6:$G$35,29-5)&gt;=('Özet'!$C$6+7*52)),AND(N(INDEX('İzin Planı'!$I$6:$I$35,29-5))&gt;0,INDEX('İzin Planı'!$I$6:$I$35,29-5)&lt;=('Özet'!$C$6+7*52)+6,INDEX('İzin Planı'!$J$6:$J$35,29-5)&gt;=('Özet'!$C$6+7*52)),AND(N(INDEX('İzin Planı'!$L$6:$L$35,29-5))&gt;0,INDEX('İzin Planı'!$L$6:$L$35,29-5)&lt;=('Özet'!$C$6+7*52)+6,INDEX('İzin Planı'!$M$6:$M$35,29-5)&gt;=('Özet'!$C$6+7*52))),"İ",""))</f>
      </c>
    </row>
    <row r="30" ht="18" customHeight="1" spans="1:55" x14ac:dyDescent="0.25">
      <c r="A30" s="6">
        <v>25</v>
      </c>
      <c r="B30" s="13">
        <f>IF(INDEX('İzin Planı'!$C$6:$C$35,30-5)="","",INDEX('İzin Planı'!$C$6:$C$35,30-5))</f>
      </c>
      <c r="C30" s="13">
        <f>IF(INDEX('İzin Planı'!$C$6:$C$35,30-5)="","",IF(OR(AND(N(INDEX('İzin Planı'!$F$6:$F$35,30-5))&gt;0,INDEX('İzin Planı'!$F$6:$F$35,30-5)&lt;=('Özet'!$C$6+7*0)+6,INDEX('İzin Planı'!$G$6:$G$35,30-5)&gt;=('Özet'!$C$6+7*0)),AND(N(INDEX('İzin Planı'!$I$6:$I$35,30-5))&gt;0,INDEX('İzin Planı'!$I$6:$I$35,30-5)&lt;=('Özet'!$C$6+7*0)+6,INDEX('İzin Planı'!$J$6:$J$35,30-5)&gt;=('Özet'!$C$6+7*0)),AND(N(INDEX('İzin Planı'!$L$6:$L$35,30-5))&gt;0,INDEX('İzin Planı'!$L$6:$L$35,30-5)&lt;=('Özet'!$C$6+7*0)+6,INDEX('İzin Planı'!$M$6:$M$35,30-5)&gt;=('Özet'!$C$6+7*0))),"İ",""))</f>
      </c>
      <c r="D30" s="13">
        <f>IF(INDEX('İzin Planı'!$C$6:$C$35,30-5)="","",IF(OR(AND(N(INDEX('İzin Planı'!$F$6:$F$35,30-5))&gt;0,INDEX('İzin Planı'!$F$6:$F$35,30-5)&lt;=('Özet'!$C$6+7*1)+6,INDEX('İzin Planı'!$G$6:$G$35,30-5)&gt;=('Özet'!$C$6+7*1)),AND(N(INDEX('İzin Planı'!$I$6:$I$35,30-5))&gt;0,INDEX('İzin Planı'!$I$6:$I$35,30-5)&lt;=('Özet'!$C$6+7*1)+6,INDEX('İzin Planı'!$J$6:$J$35,30-5)&gt;=('Özet'!$C$6+7*1)),AND(N(INDEX('İzin Planı'!$L$6:$L$35,30-5))&gt;0,INDEX('İzin Planı'!$L$6:$L$35,30-5)&lt;=('Özet'!$C$6+7*1)+6,INDEX('İzin Planı'!$M$6:$M$35,30-5)&gt;=('Özet'!$C$6+7*1))),"İ",""))</f>
      </c>
      <c r="E30" s="13">
        <f>IF(INDEX('İzin Planı'!$C$6:$C$35,30-5)="","",IF(OR(AND(N(INDEX('İzin Planı'!$F$6:$F$35,30-5))&gt;0,INDEX('İzin Planı'!$F$6:$F$35,30-5)&lt;=('Özet'!$C$6+7*2)+6,INDEX('İzin Planı'!$G$6:$G$35,30-5)&gt;=('Özet'!$C$6+7*2)),AND(N(INDEX('İzin Planı'!$I$6:$I$35,30-5))&gt;0,INDEX('İzin Planı'!$I$6:$I$35,30-5)&lt;=('Özet'!$C$6+7*2)+6,INDEX('İzin Planı'!$J$6:$J$35,30-5)&gt;=('Özet'!$C$6+7*2)),AND(N(INDEX('İzin Planı'!$L$6:$L$35,30-5))&gt;0,INDEX('İzin Planı'!$L$6:$L$35,30-5)&lt;=('Özet'!$C$6+7*2)+6,INDEX('İzin Planı'!$M$6:$M$35,30-5)&gt;=('Özet'!$C$6+7*2))),"İ",""))</f>
      </c>
      <c r="F30" s="13">
        <f>IF(INDEX('İzin Planı'!$C$6:$C$35,30-5)="","",IF(OR(AND(N(INDEX('İzin Planı'!$F$6:$F$35,30-5))&gt;0,INDEX('İzin Planı'!$F$6:$F$35,30-5)&lt;=('Özet'!$C$6+7*3)+6,INDEX('İzin Planı'!$G$6:$G$35,30-5)&gt;=('Özet'!$C$6+7*3)),AND(N(INDEX('İzin Planı'!$I$6:$I$35,30-5))&gt;0,INDEX('İzin Planı'!$I$6:$I$35,30-5)&lt;=('Özet'!$C$6+7*3)+6,INDEX('İzin Planı'!$J$6:$J$35,30-5)&gt;=('Özet'!$C$6+7*3)),AND(N(INDEX('İzin Planı'!$L$6:$L$35,30-5))&gt;0,INDEX('İzin Planı'!$L$6:$L$35,30-5)&lt;=('Özet'!$C$6+7*3)+6,INDEX('İzin Planı'!$M$6:$M$35,30-5)&gt;=('Özet'!$C$6+7*3))),"İ",""))</f>
      </c>
      <c r="G30" s="13">
        <f>IF(INDEX('İzin Planı'!$C$6:$C$35,30-5)="","",IF(OR(AND(N(INDEX('İzin Planı'!$F$6:$F$35,30-5))&gt;0,INDEX('İzin Planı'!$F$6:$F$35,30-5)&lt;=('Özet'!$C$6+7*4)+6,INDEX('İzin Planı'!$G$6:$G$35,30-5)&gt;=('Özet'!$C$6+7*4)),AND(N(INDEX('İzin Planı'!$I$6:$I$35,30-5))&gt;0,INDEX('İzin Planı'!$I$6:$I$35,30-5)&lt;=('Özet'!$C$6+7*4)+6,INDEX('İzin Planı'!$J$6:$J$35,30-5)&gt;=('Özet'!$C$6+7*4)),AND(N(INDEX('İzin Planı'!$L$6:$L$35,30-5))&gt;0,INDEX('İzin Planı'!$L$6:$L$35,30-5)&lt;=('Özet'!$C$6+7*4)+6,INDEX('İzin Planı'!$M$6:$M$35,30-5)&gt;=('Özet'!$C$6+7*4))),"İ",""))</f>
      </c>
      <c r="H30" s="13">
        <f>IF(INDEX('İzin Planı'!$C$6:$C$35,30-5)="","",IF(OR(AND(N(INDEX('İzin Planı'!$F$6:$F$35,30-5))&gt;0,INDEX('İzin Planı'!$F$6:$F$35,30-5)&lt;=('Özet'!$C$6+7*5)+6,INDEX('İzin Planı'!$G$6:$G$35,30-5)&gt;=('Özet'!$C$6+7*5)),AND(N(INDEX('İzin Planı'!$I$6:$I$35,30-5))&gt;0,INDEX('İzin Planı'!$I$6:$I$35,30-5)&lt;=('Özet'!$C$6+7*5)+6,INDEX('İzin Planı'!$J$6:$J$35,30-5)&gt;=('Özet'!$C$6+7*5)),AND(N(INDEX('İzin Planı'!$L$6:$L$35,30-5))&gt;0,INDEX('İzin Planı'!$L$6:$L$35,30-5)&lt;=('Özet'!$C$6+7*5)+6,INDEX('İzin Planı'!$M$6:$M$35,30-5)&gt;=('Özet'!$C$6+7*5))),"İ",""))</f>
      </c>
      <c r="I30" s="13">
        <f>IF(INDEX('İzin Planı'!$C$6:$C$35,30-5)="","",IF(OR(AND(N(INDEX('İzin Planı'!$F$6:$F$35,30-5))&gt;0,INDEX('İzin Planı'!$F$6:$F$35,30-5)&lt;=('Özet'!$C$6+7*6)+6,INDEX('İzin Planı'!$G$6:$G$35,30-5)&gt;=('Özet'!$C$6+7*6)),AND(N(INDEX('İzin Planı'!$I$6:$I$35,30-5))&gt;0,INDEX('İzin Planı'!$I$6:$I$35,30-5)&lt;=('Özet'!$C$6+7*6)+6,INDEX('İzin Planı'!$J$6:$J$35,30-5)&gt;=('Özet'!$C$6+7*6)),AND(N(INDEX('İzin Planı'!$L$6:$L$35,30-5))&gt;0,INDEX('İzin Planı'!$L$6:$L$35,30-5)&lt;=('Özet'!$C$6+7*6)+6,INDEX('İzin Planı'!$M$6:$M$35,30-5)&gt;=('Özet'!$C$6+7*6))),"İ",""))</f>
      </c>
      <c r="J30" s="13">
        <f>IF(INDEX('İzin Planı'!$C$6:$C$35,30-5)="","",IF(OR(AND(N(INDEX('İzin Planı'!$F$6:$F$35,30-5))&gt;0,INDEX('İzin Planı'!$F$6:$F$35,30-5)&lt;=('Özet'!$C$6+7*7)+6,INDEX('İzin Planı'!$G$6:$G$35,30-5)&gt;=('Özet'!$C$6+7*7)),AND(N(INDEX('İzin Planı'!$I$6:$I$35,30-5))&gt;0,INDEX('İzin Planı'!$I$6:$I$35,30-5)&lt;=('Özet'!$C$6+7*7)+6,INDEX('İzin Planı'!$J$6:$J$35,30-5)&gt;=('Özet'!$C$6+7*7)),AND(N(INDEX('İzin Planı'!$L$6:$L$35,30-5))&gt;0,INDEX('İzin Planı'!$L$6:$L$35,30-5)&lt;=('Özet'!$C$6+7*7)+6,INDEX('İzin Planı'!$M$6:$M$35,30-5)&gt;=('Özet'!$C$6+7*7))),"İ",""))</f>
      </c>
      <c r="K30" s="13">
        <f>IF(INDEX('İzin Planı'!$C$6:$C$35,30-5)="","",IF(OR(AND(N(INDEX('İzin Planı'!$F$6:$F$35,30-5))&gt;0,INDEX('İzin Planı'!$F$6:$F$35,30-5)&lt;=('Özet'!$C$6+7*8)+6,INDEX('İzin Planı'!$G$6:$G$35,30-5)&gt;=('Özet'!$C$6+7*8)),AND(N(INDEX('İzin Planı'!$I$6:$I$35,30-5))&gt;0,INDEX('İzin Planı'!$I$6:$I$35,30-5)&lt;=('Özet'!$C$6+7*8)+6,INDEX('İzin Planı'!$J$6:$J$35,30-5)&gt;=('Özet'!$C$6+7*8)),AND(N(INDEX('İzin Planı'!$L$6:$L$35,30-5))&gt;0,INDEX('İzin Planı'!$L$6:$L$35,30-5)&lt;=('Özet'!$C$6+7*8)+6,INDEX('İzin Planı'!$M$6:$M$35,30-5)&gt;=('Özet'!$C$6+7*8))),"İ",""))</f>
      </c>
      <c r="L30" s="13">
        <f>IF(INDEX('İzin Planı'!$C$6:$C$35,30-5)="","",IF(OR(AND(N(INDEX('İzin Planı'!$F$6:$F$35,30-5))&gt;0,INDEX('İzin Planı'!$F$6:$F$35,30-5)&lt;=('Özet'!$C$6+7*9)+6,INDEX('İzin Planı'!$G$6:$G$35,30-5)&gt;=('Özet'!$C$6+7*9)),AND(N(INDEX('İzin Planı'!$I$6:$I$35,30-5))&gt;0,INDEX('İzin Planı'!$I$6:$I$35,30-5)&lt;=('Özet'!$C$6+7*9)+6,INDEX('İzin Planı'!$J$6:$J$35,30-5)&gt;=('Özet'!$C$6+7*9)),AND(N(INDEX('İzin Planı'!$L$6:$L$35,30-5))&gt;0,INDEX('İzin Planı'!$L$6:$L$35,30-5)&lt;=('Özet'!$C$6+7*9)+6,INDEX('İzin Planı'!$M$6:$M$35,30-5)&gt;=('Özet'!$C$6+7*9))),"İ",""))</f>
      </c>
      <c r="M30" s="13">
        <f>IF(INDEX('İzin Planı'!$C$6:$C$35,30-5)="","",IF(OR(AND(N(INDEX('İzin Planı'!$F$6:$F$35,30-5))&gt;0,INDEX('İzin Planı'!$F$6:$F$35,30-5)&lt;=('Özet'!$C$6+7*10)+6,INDEX('İzin Planı'!$G$6:$G$35,30-5)&gt;=('Özet'!$C$6+7*10)),AND(N(INDEX('İzin Planı'!$I$6:$I$35,30-5))&gt;0,INDEX('İzin Planı'!$I$6:$I$35,30-5)&lt;=('Özet'!$C$6+7*10)+6,INDEX('İzin Planı'!$J$6:$J$35,30-5)&gt;=('Özet'!$C$6+7*10)),AND(N(INDEX('İzin Planı'!$L$6:$L$35,30-5))&gt;0,INDEX('İzin Planı'!$L$6:$L$35,30-5)&lt;=('Özet'!$C$6+7*10)+6,INDEX('İzin Planı'!$M$6:$M$35,30-5)&gt;=('Özet'!$C$6+7*10))),"İ",""))</f>
      </c>
      <c r="N30" s="13">
        <f>IF(INDEX('İzin Planı'!$C$6:$C$35,30-5)="","",IF(OR(AND(N(INDEX('İzin Planı'!$F$6:$F$35,30-5))&gt;0,INDEX('İzin Planı'!$F$6:$F$35,30-5)&lt;=('Özet'!$C$6+7*11)+6,INDEX('İzin Planı'!$G$6:$G$35,30-5)&gt;=('Özet'!$C$6+7*11)),AND(N(INDEX('İzin Planı'!$I$6:$I$35,30-5))&gt;0,INDEX('İzin Planı'!$I$6:$I$35,30-5)&lt;=('Özet'!$C$6+7*11)+6,INDEX('İzin Planı'!$J$6:$J$35,30-5)&gt;=('Özet'!$C$6+7*11)),AND(N(INDEX('İzin Planı'!$L$6:$L$35,30-5))&gt;0,INDEX('İzin Planı'!$L$6:$L$35,30-5)&lt;=('Özet'!$C$6+7*11)+6,INDEX('İzin Planı'!$M$6:$M$35,30-5)&gt;=('Özet'!$C$6+7*11))),"İ",""))</f>
      </c>
      <c r="O30" s="13">
        <f>IF(INDEX('İzin Planı'!$C$6:$C$35,30-5)="","",IF(OR(AND(N(INDEX('İzin Planı'!$F$6:$F$35,30-5))&gt;0,INDEX('İzin Planı'!$F$6:$F$35,30-5)&lt;=('Özet'!$C$6+7*12)+6,INDEX('İzin Planı'!$G$6:$G$35,30-5)&gt;=('Özet'!$C$6+7*12)),AND(N(INDEX('İzin Planı'!$I$6:$I$35,30-5))&gt;0,INDEX('İzin Planı'!$I$6:$I$35,30-5)&lt;=('Özet'!$C$6+7*12)+6,INDEX('İzin Planı'!$J$6:$J$35,30-5)&gt;=('Özet'!$C$6+7*12)),AND(N(INDEX('İzin Planı'!$L$6:$L$35,30-5))&gt;0,INDEX('İzin Planı'!$L$6:$L$35,30-5)&lt;=('Özet'!$C$6+7*12)+6,INDEX('İzin Planı'!$M$6:$M$35,30-5)&gt;=('Özet'!$C$6+7*12))),"İ",""))</f>
      </c>
      <c r="P30" s="13">
        <f>IF(INDEX('İzin Planı'!$C$6:$C$35,30-5)="","",IF(OR(AND(N(INDEX('İzin Planı'!$F$6:$F$35,30-5))&gt;0,INDEX('İzin Planı'!$F$6:$F$35,30-5)&lt;=('Özet'!$C$6+7*13)+6,INDEX('İzin Planı'!$G$6:$G$35,30-5)&gt;=('Özet'!$C$6+7*13)),AND(N(INDEX('İzin Planı'!$I$6:$I$35,30-5))&gt;0,INDEX('İzin Planı'!$I$6:$I$35,30-5)&lt;=('Özet'!$C$6+7*13)+6,INDEX('İzin Planı'!$J$6:$J$35,30-5)&gt;=('Özet'!$C$6+7*13)),AND(N(INDEX('İzin Planı'!$L$6:$L$35,30-5))&gt;0,INDEX('İzin Planı'!$L$6:$L$35,30-5)&lt;=('Özet'!$C$6+7*13)+6,INDEX('İzin Planı'!$M$6:$M$35,30-5)&gt;=('Özet'!$C$6+7*13))),"İ",""))</f>
      </c>
      <c r="Q30" s="13">
        <f>IF(INDEX('İzin Planı'!$C$6:$C$35,30-5)="","",IF(OR(AND(N(INDEX('İzin Planı'!$F$6:$F$35,30-5))&gt;0,INDEX('İzin Planı'!$F$6:$F$35,30-5)&lt;=('Özet'!$C$6+7*14)+6,INDEX('İzin Planı'!$G$6:$G$35,30-5)&gt;=('Özet'!$C$6+7*14)),AND(N(INDEX('İzin Planı'!$I$6:$I$35,30-5))&gt;0,INDEX('İzin Planı'!$I$6:$I$35,30-5)&lt;=('Özet'!$C$6+7*14)+6,INDEX('İzin Planı'!$J$6:$J$35,30-5)&gt;=('Özet'!$C$6+7*14)),AND(N(INDEX('İzin Planı'!$L$6:$L$35,30-5))&gt;0,INDEX('İzin Planı'!$L$6:$L$35,30-5)&lt;=('Özet'!$C$6+7*14)+6,INDEX('İzin Planı'!$M$6:$M$35,30-5)&gt;=('Özet'!$C$6+7*14))),"İ",""))</f>
      </c>
      <c r="R30" s="13">
        <f>IF(INDEX('İzin Planı'!$C$6:$C$35,30-5)="","",IF(OR(AND(N(INDEX('İzin Planı'!$F$6:$F$35,30-5))&gt;0,INDEX('İzin Planı'!$F$6:$F$35,30-5)&lt;=('Özet'!$C$6+7*15)+6,INDEX('İzin Planı'!$G$6:$G$35,30-5)&gt;=('Özet'!$C$6+7*15)),AND(N(INDEX('İzin Planı'!$I$6:$I$35,30-5))&gt;0,INDEX('İzin Planı'!$I$6:$I$35,30-5)&lt;=('Özet'!$C$6+7*15)+6,INDEX('İzin Planı'!$J$6:$J$35,30-5)&gt;=('Özet'!$C$6+7*15)),AND(N(INDEX('İzin Planı'!$L$6:$L$35,30-5))&gt;0,INDEX('İzin Planı'!$L$6:$L$35,30-5)&lt;=('Özet'!$C$6+7*15)+6,INDEX('İzin Planı'!$M$6:$M$35,30-5)&gt;=('Özet'!$C$6+7*15))),"İ",""))</f>
      </c>
      <c r="S30" s="13">
        <f>IF(INDEX('İzin Planı'!$C$6:$C$35,30-5)="","",IF(OR(AND(N(INDEX('İzin Planı'!$F$6:$F$35,30-5))&gt;0,INDEX('İzin Planı'!$F$6:$F$35,30-5)&lt;=('Özet'!$C$6+7*16)+6,INDEX('İzin Planı'!$G$6:$G$35,30-5)&gt;=('Özet'!$C$6+7*16)),AND(N(INDEX('İzin Planı'!$I$6:$I$35,30-5))&gt;0,INDEX('İzin Planı'!$I$6:$I$35,30-5)&lt;=('Özet'!$C$6+7*16)+6,INDEX('İzin Planı'!$J$6:$J$35,30-5)&gt;=('Özet'!$C$6+7*16)),AND(N(INDEX('İzin Planı'!$L$6:$L$35,30-5))&gt;0,INDEX('İzin Planı'!$L$6:$L$35,30-5)&lt;=('Özet'!$C$6+7*16)+6,INDEX('İzin Planı'!$M$6:$M$35,30-5)&gt;=('Özet'!$C$6+7*16))),"İ",""))</f>
      </c>
      <c r="T30" s="13">
        <f>IF(INDEX('İzin Planı'!$C$6:$C$35,30-5)="","",IF(OR(AND(N(INDEX('İzin Planı'!$F$6:$F$35,30-5))&gt;0,INDEX('İzin Planı'!$F$6:$F$35,30-5)&lt;=('Özet'!$C$6+7*17)+6,INDEX('İzin Planı'!$G$6:$G$35,30-5)&gt;=('Özet'!$C$6+7*17)),AND(N(INDEX('İzin Planı'!$I$6:$I$35,30-5))&gt;0,INDEX('İzin Planı'!$I$6:$I$35,30-5)&lt;=('Özet'!$C$6+7*17)+6,INDEX('İzin Planı'!$J$6:$J$35,30-5)&gt;=('Özet'!$C$6+7*17)),AND(N(INDEX('İzin Planı'!$L$6:$L$35,30-5))&gt;0,INDEX('İzin Planı'!$L$6:$L$35,30-5)&lt;=('Özet'!$C$6+7*17)+6,INDEX('İzin Planı'!$M$6:$M$35,30-5)&gt;=('Özet'!$C$6+7*17))),"İ",""))</f>
      </c>
      <c r="U30" s="13">
        <f>IF(INDEX('İzin Planı'!$C$6:$C$35,30-5)="","",IF(OR(AND(N(INDEX('İzin Planı'!$F$6:$F$35,30-5))&gt;0,INDEX('İzin Planı'!$F$6:$F$35,30-5)&lt;=('Özet'!$C$6+7*18)+6,INDEX('İzin Planı'!$G$6:$G$35,30-5)&gt;=('Özet'!$C$6+7*18)),AND(N(INDEX('İzin Planı'!$I$6:$I$35,30-5))&gt;0,INDEX('İzin Planı'!$I$6:$I$35,30-5)&lt;=('Özet'!$C$6+7*18)+6,INDEX('İzin Planı'!$J$6:$J$35,30-5)&gt;=('Özet'!$C$6+7*18)),AND(N(INDEX('İzin Planı'!$L$6:$L$35,30-5))&gt;0,INDEX('İzin Planı'!$L$6:$L$35,30-5)&lt;=('Özet'!$C$6+7*18)+6,INDEX('İzin Planı'!$M$6:$M$35,30-5)&gt;=('Özet'!$C$6+7*18))),"İ",""))</f>
      </c>
      <c r="V30" s="13">
        <f>IF(INDEX('İzin Planı'!$C$6:$C$35,30-5)="","",IF(OR(AND(N(INDEX('İzin Planı'!$F$6:$F$35,30-5))&gt;0,INDEX('İzin Planı'!$F$6:$F$35,30-5)&lt;=('Özet'!$C$6+7*19)+6,INDEX('İzin Planı'!$G$6:$G$35,30-5)&gt;=('Özet'!$C$6+7*19)),AND(N(INDEX('İzin Planı'!$I$6:$I$35,30-5))&gt;0,INDEX('İzin Planı'!$I$6:$I$35,30-5)&lt;=('Özet'!$C$6+7*19)+6,INDEX('İzin Planı'!$J$6:$J$35,30-5)&gt;=('Özet'!$C$6+7*19)),AND(N(INDEX('İzin Planı'!$L$6:$L$35,30-5))&gt;0,INDEX('İzin Planı'!$L$6:$L$35,30-5)&lt;=('Özet'!$C$6+7*19)+6,INDEX('İzin Planı'!$M$6:$M$35,30-5)&gt;=('Özet'!$C$6+7*19))),"İ",""))</f>
      </c>
      <c r="W30" s="13">
        <f>IF(INDEX('İzin Planı'!$C$6:$C$35,30-5)="","",IF(OR(AND(N(INDEX('İzin Planı'!$F$6:$F$35,30-5))&gt;0,INDEX('İzin Planı'!$F$6:$F$35,30-5)&lt;=('Özet'!$C$6+7*20)+6,INDEX('İzin Planı'!$G$6:$G$35,30-5)&gt;=('Özet'!$C$6+7*20)),AND(N(INDEX('İzin Planı'!$I$6:$I$35,30-5))&gt;0,INDEX('İzin Planı'!$I$6:$I$35,30-5)&lt;=('Özet'!$C$6+7*20)+6,INDEX('İzin Planı'!$J$6:$J$35,30-5)&gt;=('Özet'!$C$6+7*20)),AND(N(INDEX('İzin Planı'!$L$6:$L$35,30-5))&gt;0,INDEX('İzin Planı'!$L$6:$L$35,30-5)&lt;=('Özet'!$C$6+7*20)+6,INDEX('İzin Planı'!$M$6:$M$35,30-5)&gt;=('Özet'!$C$6+7*20))),"İ",""))</f>
      </c>
      <c r="X30" s="13">
        <f>IF(INDEX('İzin Planı'!$C$6:$C$35,30-5)="","",IF(OR(AND(N(INDEX('İzin Planı'!$F$6:$F$35,30-5))&gt;0,INDEX('İzin Planı'!$F$6:$F$35,30-5)&lt;=('Özet'!$C$6+7*21)+6,INDEX('İzin Planı'!$G$6:$G$35,30-5)&gt;=('Özet'!$C$6+7*21)),AND(N(INDEX('İzin Planı'!$I$6:$I$35,30-5))&gt;0,INDEX('İzin Planı'!$I$6:$I$35,30-5)&lt;=('Özet'!$C$6+7*21)+6,INDEX('İzin Planı'!$J$6:$J$35,30-5)&gt;=('Özet'!$C$6+7*21)),AND(N(INDEX('İzin Planı'!$L$6:$L$35,30-5))&gt;0,INDEX('İzin Planı'!$L$6:$L$35,30-5)&lt;=('Özet'!$C$6+7*21)+6,INDEX('İzin Planı'!$M$6:$M$35,30-5)&gt;=('Özet'!$C$6+7*21))),"İ",""))</f>
      </c>
      <c r="Y30" s="13">
        <f>IF(INDEX('İzin Planı'!$C$6:$C$35,30-5)="","",IF(OR(AND(N(INDEX('İzin Planı'!$F$6:$F$35,30-5))&gt;0,INDEX('İzin Planı'!$F$6:$F$35,30-5)&lt;=('Özet'!$C$6+7*22)+6,INDEX('İzin Planı'!$G$6:$G$35,30-5)&gt;=('Özet'!$C$6+7*22)),AND(N(INDEX('İzin Planı'!$I$6:$I$35,30-5))&gt;0,INDEX('İzin Planı'!$I$6:$I$35,30-5)&lt;=('Özet'!$C$6+7*22)+6,INDEX('İzin Planı'!$J$6:$J$35,30-5)&gt;=('Özet'!$C$6+7*22)),AND(N(INDEX('İzin Planı'!$L$6:$L$35,30-5))&gt;0,INDEX('İzin Planı'!$L$6:$L$35,30-5)&lt;=('Özet'!$C$6+7*22)+6,INDEX('İzin Planı'!$M$6:$M$35,30-5)&gt;=('Özet'!$C$6+7*22))),"İ",""))</f>
      </c>
      <c r="Z30" s="13">
        <f>IF(INDEX('İzin Planı'!$C$6:$C$35,30-5)="","",IF(OR(AND(N(INDEX('İzin Planı'!$F$6:$F$35,30-5))&gt;0,INDEX('İzin Planı'!$F$6:$F$35,30-5)&lt;=('Özet'!$C$6+7*23)+6,INDEX('İzin Planı'!$G$6:$G$35,30-5)&gt;=('Özet'!$C$6+7*23)),AND(N(INDEX('İzin Planı'!$I$6:$I$35,30-5))&gt;0,INDEX('İzin Planı'!$I$6:$I$35,30-5)&lt;=('Özet'!$C$6+7*23)+6,INDEX('İzin Planı'!$J$6:$J$35,30-5)&gt;=('Özet'!$C$6+7*23)),AND(N(INDEX('İzin Planı'!$L$6:$L$35,30-5))&gt;0,INDEX('İzin Planı'!$L$6:$L$35,30-5)&lt;=('Özet'!$C$6+7*23)+6,INDEX('İzin Planı'!$M$6:$M$35,30-5)&gt;=('Özet'!$C$6+7*23))),"İ",""))</f>
      </c>
      <c r="AA30" s="13">
        <f>IF(INDEX('İzin Planı'!$C$6:$C$35,30-5)="","",IF(OR(AND(N(INDEX('İzin Planı'!$F$6:$F$35,30-5))&gt;0,INDEX('İzin Planı'!$F$6:$F$35,30-5)&lt;=('Özet'!$C$6+7*24)+6,INDEX('İzin Planı'!$G$6:$G$35,30-5)&gt;=('Özet'!$C$6+7*24)),AND(N(INDEX('İzin Planı'!$I$6:$I$35,30-5))&gt;0,INDEX('İzin Planı'!$I$6:$I$35,30-5)&lt;=('Özet'!$C$6+7*24)+6,INDEX('İzin Planı'!$J$6:$J$35,30-5)&gt;=('Özet'!$C$6+7*24)),AND(N(INDEX('İzin Planı'!$L$6:$L$35,30-5))&gt;0,INDEX('İzin Planı'!$L$6:$L$35,30-5)&lt;=('Özet'!$C$6+7*24)+6,INDEX('İzin Planı'!$M$6:$M$35,30-5)&gt;=('Özet'!$C$6+7*24))),"İ",""))</f>
      </c>
      <c r="AB30" s="13">
        <f>IF(INDEX('İzin Planı'!$C$6:$C$35,30-5)="","",IF(OR(AND(N(INDEX('İzin Planı'!$F$6:$F$35,30-5))&gt;0,INDEX('İzin Planı'!$F$6:$F$35,30-5)&lt;=('Özet'!$C$6+7*25)+6,INDEX('İzin Planı'!$G$6:$G$35,30-5)&gt;=('Özet'!$C$6+7*25)),AND(N(INDEX('İzin Planı'!$I$6:$I$35,30-5))&gt;0,INDEX('İzin Planı'!$I$6:$I$35,30-5)&lt;=('Özet'!$C$6+7*25)+6,INDEX('İzin Planı'!$J$6:$J$35,30-5)&gt;=('Özet'!$C$6+7*25)),AND(N(INDEX('İzin Planı'!$L$6:$L$35,30-5))&gt;0,INDEX('İzin Planı'!$L$6:$L$35,30-5)&lt;=('Özet'!$C$6+7*25)+6,INDEX('İzin Planı'!$M$6:$M$35,30-5)&gt;=('Özet'!$C$6+7*25))),"İ",""))</f>
      </c>
      <c r="AC30" s="13">
        <f>IF(INDEX('İzin Planı'!$C$6:$C$35,30-5)="","",IF(OR(AND(N(INDEX('İzin Planı'!$F$6:$F$35,30-5))&gt;0,INDEX('İzin Planı'!$F$6:$F$35,30-5)&lt;=('Özet'!$C$6+7*26)+6,INDEX('İzin Planı'!$G$6:$G$35,30-5)&gt;=('Özet'!$C$6+7*26)),AND(N(INDEX('İzin Planı'!$I$6:$I$35,30-5))&gt;0,INDEX('İzin Planı'!$I$6:$I$35,30-5)&lt;=('Özet'!$C$6+7*26)+6,INDEX('İzin Planı'!$J$6:$J$35,30-5)&gt;=('Özet'!$C$6+7*26)),AND(N(INDEX('İzin Planı'!$L$6:$L$35,30-5))&gt;0,INDEX('İzin Planı'!$L$6:$L$35,30-5)&lt;=('Özet'!$C$6+7*26)+6,INDEX('İzin Planı'!$M$6:$M$35,30-5)&gt;=('Özet'!$C$6+7*26))),"İ",""))</f>
      </c>
      <c r="AD30" s="13">
        <f>IF(INDEX('İzin Planı'!$C$6:$C$35,30-5)="","",IF(OR(AND(N(INDEX('İzin Planı'!$F$6:$F$35,30-5))&gt;0,INDEX('İzin Planı'!$F$6:$F$35,30-5)&lt;=('Özet'!$C$6+7*27)+6,INDEX('İzin Planı'!$G$6:$G$35,30-5)&gt;=('Özet'!$C$6+7*27)),AND(N(INDEX('İzin Planı'!$I$6:$I$35,30-5))&gt;0,INDEX('İzin Planı'!$I$6:$I$35,30-5)&lt;=('Özet'!$C$6+7*27)+6,INDEX('İzin Planı'!$J$6:$J$35,30-5)&gt;=('Özet'!$C$6+7*27)),AND(N(INDEX('İzin Planı'!$L$6:$L$35,30-5))&gt;0,INDEX('İzin Planı'!$L$6:$L$35,30-5)&lt;=('Özet'!$C$6+7*27)+6,INDEX('İzin Planı'!$M$6:$M$35,30-5)&gt;=('Özet'!$C$6+7*27))),"İ",""))</f>
      </c>
      <c r="AE30" s="13">
        <f>IF(INDEX('İzin Planı'!$C$6:$C$35,30-5)="","",IF(OR(AND(N(INDEX('İzin Planı'!$F$6:$F$35,30-5))&gt;0,INDEX('İzin Planı'!$F$6:$F$35,30-5)&lt;=('Özet'!$C$6+7*28)+6,INDEX('İzin Planı'!$G$6:$G$35,30-5)&gt;=('Özet'!$C$6+7*28)),AND(N(INDEX('İzin Planı'!$I$6:$I$35,30-5))&gt;0,INDEX('İzin Planı'!$I$6:$I$35,30-5)&lt;=('Özet'!$C$6+7*28)+6,INDEX('İzin Planı'!$J$6:$J$35,30-5)&gt;=('Özet'!$C$6+7*28)),AND(N(INDEX('İzin Planı'!$L$6:$L$35,30-5))&gt;0,INDEX('İzin Planı'!$L$6:$L$35,30-5)&lt;=('Özet'!$C$6+7*28)+6,INDEX('İzin Planı'!$M$6:$M$35,30-5)&gt;=('Özet'!$C$6+7*28))),"İ",""))</f>
      </c>
      <c r="AF30" s="13">
        <f>IF(INDEX('İzin Planı'!$C$6:$C$35,30-5)="","",IF(OR(AND(N(INDEX('İzin Planı'!$F$6:$F$35,30-5))&gt;0,INDEX('İzin Planı'!$F$6:$F$35,30-5)&lt;=('Özet'!$C$6+7*29)+6,INDEX('İzin Planı'!$G$6:$G$35,30-5)&gt;=('Özet'!$C$6+7*29)),AND(N(INDEX('İzin Planı'!$I$6:$I$35,30-5))&gt;0,INDEX('İzin Planı'!$I$6:$I$35,30-5)&lt;=('Özet'!$C$6+7*29)+6,INDEX('İzin Planı'!$J$6:$J$35,30-5)&gt;=('Özet'!$C$6+7*29)),AND(N(INDEX('İzin Planı'!$L$6:$L$35,30-5))&gt;0,INDEX('İzin Planı'!$L$6:$L$35,30-5)&lt;=('Özet'!$C$6+7*29)+6,INDEX('İzin Planı'!$M$6:$M$35,30-5)&gt;=('Özet'!$C$6+7*29))),"İ",""))</f>
      </c>
      <c r="AG30" s="13">
        <f>IF(INDEX('İzin Planı'!$C$6:$C$35,30-5)="","",IF(OR(AND(N(INDEX('İzin Planı'!$F$6:$F$35,30-5))&gt;0,INDEX('İzin Planı'!$F$6:$F$35,30-5)&lt;=('Özet'!$C$6+7*30)+6,INDEX('İzin Planı'!$G$6:$G$35,30-5)&gt;=('Özet'!$C$6+7*30)),AND(N(INDEX('İzin Planı'!$I$6:$I$35,30-5))&gt;0,INDEX('İzin Planı'!$I$6:$I$35,30-5)&lt;=('Özet'!$C$6+7*30)+6,INDEX('İzin Planı'!$J$6:$J$35,30-5)&gt;=('Özet'!$C$6+7*30)),AND(N(INDEX('İzin Planı'!$L$6:$L$35,30-5))&gt;0,INDEX('İzin Planı'!$L$6:$L$35,30-5)&lt;=('Özet'!$C$6+7*30)+6,INDEX('İzin Planı'!$M$6:$M$35,30-5)&gt;=('Özet'!$C$6+7*30))),"İ",""))</f>
      </c>
      <c r="AH30" s="13">
        <f>IF(INDEX('İzin Planı'!$C$6:$C$35,30-5)="","",IF(OR(AND(N(INDEX('İzin Planı'!$F$6:$F$35,30-5))&gt;0,INDEX('İzin Planı'!$F$6:$F$35,30-5)&lt;=('Özet'!$C$6+7*31)+6,INDEX('İzin Planı'!$G$6:$G$35,30-5)&gt;=('Özet'!$C$6+7*31)),AND(N(INDEX('İzin Planı'!$I$6:$I$35,30-5))&gt;0,INDEX('İzin Planı'!$I$6:$I$35,30-5)&lt;=('Özet'!$C$6+7*31)+6,INDEX('İzin Planı'!$J$6:$J$35,30-5)&gt;=('Özet'!$C$6+7*31)),AND(N(INDEX('İzin Planı'!$L$6:$L$35,30-5))&gt;0,INDEX('İzin Planı'!$L$6:$L$35,30-5)&lt;=('Özet'!$C$6+7*31)+6,INDEX('İzin Planı'!$M$6:$M$35,30-5)&gt;=('Özet'!$C$6+7*31))),"İ",""))</f>
      </c>
      <c r="AI30" s="13">
        <f>IF(INDEX('İzin Planı'!$C$6:$C$35,30-5)="","",IF(OR(AND(N(INDEX('İzin Planı'!$F$6:$F$35,30-5))&gt;0,INDEX('İzin Planı'!$F$6:$F$35,30-5)&lt;=('Özet'!$C$6+7*32)+6,INDEX('İzin Planı'!$G$6:$G$35,30-5)&gt;=('Özet'!$C$6+7*32)),AND(N(INDEX('İzin Planı'!$I$6:$I$35,30-5))&gt;0,INDEX('İzin Planı'!$I$6:$I$35,30-5)&lt;=('Özet'!$C$6+7*32)+6,INDEX('İzin Planı'!$J$6:$J$35,30-5)&gt;=('Özet'!$C$6+7*32)),AND(N(INDEX('İzin Planı'!$L$6:$L$35,30-5))&gt;0,INDEX('İzin Planı'!$L$6:$L$35,30-5)&lt;=('Özet'!$C$6+7*32)+6,INDEX('İzin Planı'!$M$6:$M$35,30-5)&gt;=('Özet'!$C$6+7*32))),"İ",""))</f>
      </c>
      <c r="AJ30" s="13">
        <f>IF(INDEX('İzin Planı'!$C$6:$C$35,30-5)="","",IF(OR(AND(N(INDEX('İzin Planı'!$F$6:$F$35,30-5))&gt;0,INDEX('İzin Planı'!$F$6:$F$35,30-5)&lt;=('Özet'!$C$6+7*33)+6,INDEX('İzin Planı'!$G$6:$G$35,30-5)&gt;=('Özet'!$C$6+7*33)),AND(N(INDEX('İzin Planı'!$I$6:$I$35,30-5))&gt;0,INDEX('İzin Planı'!$I$6:$I$35,30-5)&lt;=('Özet'!$C$6+7*33)+6,INDEX('İzin Planı'!$J$6:$J$35,30-5)&gt;=('Özet'!$C$6+7*33)),AND(N(INDEX('İzin Planı'!$L$6:$L$35,30-5))&gt;0,INDEX('İzin Planı'!$L$6:$L$35,30-5)&lt;=('Özet'!$C$6+7*33)+6,INDEX('İzin Planı'!$M$6:$M$35,30-5)&gt;=('Özet'!$C$6+7*33))),"İ",""))</f>
      </c>
      <c r="AK30" s="13">
        <f>IF(INDEX('İzin Planı'!$C$6:$C$35,30-5)="","",IF(OR(AND(N(INDEX('İzin Planı'!$F$6:$F$35,30-5))&gt;0,INDEX('İzin Planı'!$F$6:$F$35,30-5)&lt;=('Özet'!$C$6+7*34)+6,INDEX('İzin Planı'!$G$6:$G$35,30-5)&gt;=('Özet'!$C$6+7*34)),AND(N(INDEX('İzin Planı'!$I$6:$I$35,30-5))&gt;0,INDEX('İzin Planı'!$I$6:$I$35,30-5)&lt;=('Özet'!$C$6+7*34)+6,INDEX('İzin Planı'!$J$6:$J$35,30-5)&gt;=('Özet'!$C$6+7*34)),AND(N(INDEX('İzin Planı'!$L$6:$L$35,30-5))&gt;0,INDEX('İzin Planı'!$L$6:$L$35,30-5)&lt;=('Özet'!$C$6+7*34)+6,INDEX('İzin Planı'!$M$6:$M$35,30-5)&gt;=('Özet'!$C$6+7*34))),"İ",""))</f>
      </c>
      <c r="AL30" s="13">
        <f>IF(INDEX('İzin Planı'!$C$6:$C$35,30-5)="","",IF(OR(AND(N(INDEX('İzin Planı'!$F$6:$F$35,30-5))&gt;0,INDEX('İzin Planı'!$F$6:$F$35,30-5)&lt;=('Özet'!$C$6+7*35)+6,INDEX('İzin Planı'!$G$6:$G$35,30-5)&gt;=('Özet'!$C$6+7*35)),AND(N(INDEX('İzin Planı'!$I$6:$I$35,30-5))&gt;0,INDEX('İzin Planı'!$I$6:$I$35,30-5)&lt;=('Özet'!$C$6+7*35)+6,INDEX('İzin Planı'!$J$6:$J$35,30-5)&gt;=('Özet'!$C$6+7*35)),AND(N(INDEX('İzin Planı'!$L$6:$L$35,30-5))&gt;0,INDEX('İzin Planı'!$L$6:$L$35,30-5)&lt;=('Özet'!$C$6+7*35)+6,INDEX('İzin Planı'!$M$6:$M$35,30-5)&gt;=('Özet'!$C$6+7*35))),"İ",""))</f>
      </c>
      <c r="AM30" s="13">
        <f>IF(INDEX('İzin Planı'!$C$6:$C$35,30-5)="","",IF(OR(AND(N(INDEX('İzin Planı'!$F$6:$F$35,30-5))&gt;0,INDEX('İzin Planı'!$F$6:$F$35,30-5)&lt;=('Özet'!$C$6+7*36)+6,INDEX('İzin Planı'!$G$6:$G$35,30-5)&gt;=('Özet'!$C$6+7*36)),AND(N(INDEX('İzin Planı'!$I$6:$I$35,30-5))&gt;0,INDEX('İzin Planı'!$I$6:$I$35,30-5)&lt;=('Özet'!$C$6+7*36)+6,INDEX('İzin Planı'!$J$6:$J$35,30-5)&gt;=('Özet'!$C$6+7*36)),AND(N(INDEX('İzin Planı'!$L$6:$L$35,30-5))&gt;0,INDEX('İzin Planı'!$L$6:$L$35,30-5)&lt;=('Özet'!$C$6+7*36)+6,INDEX('İzin Planı'!$M$6:$M$35,30-5)&gt;=('Özet'!$C$6+7*36))),"İ",""))</f>
      </c>
      <c r="AN30" s="13">
        <f>IF(INDEX('İzin Planı'!$C$6:$C$35,30-5)="","",IF(OR(AND(N(INDEX('İzin Planı'!$F$6:$F$35,30-5))&gt;0,INDEX('İzin Planı'!$F$6:$F$35,30-5)&lt;=('Özet'!$C$6+7*37)+6,INDEX('İzin Planı'!$G$6:$G$35,30-5)&gt;=('Özet'!$C$6+7*37)),AND(N(INDEX('İzin Planı'!$I$6:$I$35,30-5))&gt;0,INDEX('İzin Planı'!$I$6:$I$35,30-5)&lt;=('Özet'!$C$6+7*37)+6,INDEX('İzin Planı'!$J$6:$J$35,30-5)&gt;=('Özet'!$C$6+7*37)),AND(N(INDEX('İzin Planı'!$L$6:$L$35,30-5))&gt;0,INDEX('İzin Planı'!$L$6:$L$35,30-5)&lt;=('Özet'!$C$6+7*37)+6,INDEX('İzin Planı'!$M$6:$M$35,30-5)&gt;=('Özet'!$C$6+7*37))),"İ",""))</f>
      </c>
      <c r="AO30" s="13">
        <f>IF(INDEX('İzin Planı'!$C$6:$C$35,30-5)="","",IF(OR(AND(N(INDEX('İzin Planı'!$F$6:$F$35,30-5))&gt;0,INDEX('İzin Planı'!$F$6:$F$35,30-5)&lt;=('Özet'!$C$6+7*38)+6,INDEX('İzin Planı'!$G$6:$G$35,30-5)&gt;=('Özet'!$C$6+7*38)),AND(N(INDEX('İzin Planı'!$I$6:$I$35,30-5))&gt;0,INDEX('İzin Planı'!$I$6:$I$35,30-5)&lt;=('Özet'!$C$6+7*38)+6,INDEX('İzin Planı'!$J$6:$J$35,30-5)&gt;=('Özet'!$C$6+7*38)),AND(N(INDEX('İzin Planı'!$L$6:$L$35,30-5))&gt;0,INDEX('İzin Planı'!$L$6:$L$35,30-5)&lt;=('Özet'!$C$6+7*38)+6,INDEX('İzin Planı'!$M$6:$M$35,30-5)&gt;=('Özet'!$C$6+7*38))),"İ",""))</f>
      </c>
      <c r="AP30" s="13">
        <f>IF(INDEX('İzin Planı'!$C$6:$C$35,30-5)="","",IF(OR(AND(N(INDEX('İzin Planı'!$F$6:$F$35,30-5))&gt;0,INDEX('İzin Planı'!$F$6:$F$35,30-5)&lt;=('Özet'!$C$6+7*39)+6,INDEX('İzin Planı'!$G$6:$G$35,30-5)&gt;=('Özet'!$C$6+7*39)),AND(N(INDEX('İzin Planı'!$I$6:$I$35,30-5))&gt;0,INDEX('İzin Planı'!$I$6:$I$35,30-5)&lt;=('Özet'!$C$6+7*39)+6,INDEX('İzin Planı'!$J$6:$J$35,30-5)&gt;=('Özet'!$C$6+7*39)),AND(N(INDEX('İzin Planı'!$L$6:$L$35,30-5))&gt;0,INDEX('İzin Planı'!$L$6:$L$35,30-5)&lt;=('Özet'!$C$6+7*39)+6,INDEX('İzin Planı'!$M$6:$M$35,30-5)&gt;=('Özet'!$C$6+7*39))),"İ",""))</f>
      </c>
      <c r="AQ30" s="13">
        <f>IF(INDEX('İzin Planı'!$C$6:$C$35,30-5)="","",IF(OR(AND(N(INDEX('İzin Planı'!$F$6:$F$35,30-5))&gt;0,INDEX('İzin Planı'!$F$6:$F$35,30-5)&lt;=('Özet'!$C$6+7*40)+6,INDEX('İzin Planı'!$G$6:$G$35,30-5)&gt;=('Özet'!$C$6+7*40)),AND(N(INDEX('İzin Planı'!$I$6:$I$35,30-5))&gt;0,INDEX('İzin Planı'!$I$6:$I$35,30-5)&lt;=('Özet'!$C$6+7*40)+6,INDEX('İzin Planı'!$J$6:$J$35,30-5)&gt;=('Özet'!$C$6+7*40)),AND(N(INDEX('İzin Planı'!$L$6:$L$35,30-5))&gt;0,INDEX('İzin Planı'!$L$6:$L$35,30-5)&lt;=('Özet'!$C$6+7*40)+6,INDEX('İzin Planı'!$M$6:$M$35,30-5)&gt;=('Özet'!$C$6+7*40))),"İ",""))</f>
      </c>
      <c r="AR30" s="13">
        <f>IF(INDEX('İzin Planı'!$C$6:$C$35,30-5)="","",IF(OR(AND(N(INDEX('İzin Planı'!$F$6:$F$35,30-5))&gt;0,INDEX('İzin Planı'!$F$6:$F$35,30-5)&lt;=('Özet'!$C$6+7*41)+6,INDEX('İzin Planı'!$G$6:$G$35,30-5)&gt;=('Özet'!$C$6+7*41)),AND(N(INDEX('İzin Planı'!$I$6:$I$35,30-5))&gt;0,INDEX('İzin Planı'!$I$6:$I$35,30-5)&lt;=('Özet'!$C$6+7*41)+6,INDEX('İzin Planı'!$J$6:$J$35,30-5)&gt;=('Özet'!$C$6+7*41)),AND(N(INDEX('İzin Planı'!$L$6:$L$35,30-5))&gt;0,INDEX('İzin Planı'!$L$6:$L$35,30-5)&lt;=('Özet'!$C$6+7*41)+6,INDEX('İzin Planı'!$M$6:$M$35,30-5)&gt;=('Özet'!$C$6+7*41))),"İ",""))</f>
      </c>
      <c r="AS30" s="13">
        <f>IF(INDEX('İzin Planı'!$C$6:$C$35,30-5)="","",IF(OR(AND(N(INDEX('İzin Planı'!$F$6:$F$35,30-5))&gt;0,INDEX('İzin Planı'!$F$6:$F$35,30-5)&lt;=('Özet'!$C$6+7*42)+6,INDEX('İzin Planı'!$G$6:$G$35,30-5)&gt;=('Özet'!$C$6+7*42)),AND(N(INDEX('İzin Planı'!$I$6:$I$35,30-5))&gt;0,INDEX('İzin Planı'!$I$6:$I$35,30-5)&lt;=('Özet'!$C$6+7*42)+6,INDEX('İzin Planı'!$J$6:$J$35,30-5)&gt;=('Özet'!$C$6+7*42)),AND(N(INDEX('İzin Planı'!$L$6:$L$35,30-5))&gt;0,INDEX('İzin Planı'!$L$6:$L$35,30-5)&lt;=('Özet'!$C$6+7*42)+6,INDEX('İzin Planı'!$M$6:$M$35,30-5)&gt;=('Özet'!$C$6+7*42))),"İ",""))</f>
      </c>
      <c r="AT30" s="13">
        <f>IF(INDEX('İzin Planı'!$C$6:$C$35,30-5)="","",IF(OR(AND(N(INDEX('İzin Planı'!$F$6:$F$35,30-5))&gt;0,INDEX('İzin Planı'!$F$6:$F$35,30-5)&lt;=('Özet'!$C$6+7*43)+6,INDEX('İzin Planı'!$G$6:$G$35,30-5)&gt;=('Özet'!$C$6+7*43)),AND(N(INDEX('İzin Planı'!$I$6:$I$35,30-5))&gt;0,INDEX('İzin Planı'!$I$6:$I$35,30-5)&lt;=('Özet'!$C$6+7*43)+6,INDEX('İzin Planı'!$J$6:$J$35,30-5)&gt;=('Özet'!$C$6+7*43)),AND(N(INDEX('İzin Planı'!$L$6:$L$35,30-5))&gt;0,INDEX('İzin Planı'!$L$6:$L$35,30-5)&lt;=('Özet'!$C$6+7*43)+6,INDEX('İzin Planı'!$M$6:$M$35,30-5)&gt;=('Özet'!$C$6+7*43))),"İ",""))</f>
      </c>
      <c r="AU30" s="13">
        <f>IF(INDEX('İzin Planı'!$C$6:$C$35,30-5)="","",IF(OR(AND(N(INDEX('İzin Planı'!$F$6:$F$35,30-5))&gt;0,INDEX('İzin Planı'!$F$6:$F$35,30-5)&lt;=('Özet'!$C$6+7*44)+6,INDEX('İzin Planı'!$G$6:$G$35,30-5)&gt;=('Özet'!$C$6+7*44)),AND(N(INDEX('İzin Planı'!$I$6:$I$35,30-5))&gt;0,INDEX('İzin Planı'!$I$6:$I$35,30-5)&lt;=('Özet'!$C$6+7*44)+6,INDEX('İzin Planı'!$J$6:$J$35,30-5)&gt;=('Özet'!$C$6+7*44)),AND(N(INDEX('İzin Planı'!$L$6:$L$35,30-5))&gt;0,INDEX('İzin Planı'!$L$6:$L$35,30-5)&lt;=('Özet'!$C$6+7*44)+6,INDEX('İzin Planı'!$M$6:$M$35,30-5)&gt;=('Özet'!$C$6+7*44))),"İ",""))</f>
      </c>
      <c r="AV30" s="13">
        <f>IF(INDEX('İzin Planı'!$C$6:$C$35,30-5)="","",IF(OR(AND(N(INDEX('İzin Planı'!$F$6:$F$35,30-5))&gt;0,INDEX('İzin Planı'!$F$6:$F$35,30-5)&lt;=('Özet'!$C$6+7*45)+6,INDEX('İzin Planı'!$G$6:$G$35,30-5)&gt;=('Özet'!$C$6+7*45)),AND(N(INDEX('İzin Planı'!$I$6:$I$35,30-5))&gt;0,INDEX('İzin Planı'!$I$6:$I$35,30-5)&lt;=('Özet'!$C$6+7*45)+6,INDEX('İzin Planı'!$J$6:$J$35,30-5)&gt;=('Özet'!$C$6+7*45)),AND(N(INDEX('İzin Planı'!$L$6:$L$35,30-5))&gt;0,INDEX('İzin Planı'!$L$6:$L$35,30-5)&lt;=('Özet'!$C$6+7*45)+6,INDEX('İzin Planı'!$M$6:$M$35,30-5)&gt;=('Özet'!$C$6+7*45))),"İ",""))</f>
      </c>
      <c r="AW30" s="13">
        <f>IF(INDEX('İzin Planı'!$C$6:$C$35,30-5)="","",IF(OR(AND(N(INDEX('İzin Planı'!$F$6:$F$35,30-5))&gt;0,INDEX('İzin Planı'!$F$6:$F$35,30-5)&lt;=('Özet'!$C$6+7*46)+6,INDEX('İzin Planı'!$G$6:$G$35,30-5)&gt;=('Özet'!$C$6+7*46)),AND(N(INDEX('İzin Planı'!$I$6:$I$35,30-5))&gt;0,INDEX('İzin Planı'!$I$6:$I$35,30-5)&lt;=('Özet'!$C$6+7*46)+6,INDEX('İzin Planı'!$J$6:$J$35,30-5)&gt;=('Özet'!$C$6+7*46)),AND(N(INDEX('İzin Planı'!$L$6:$L$35,30-5))&gt;0,INDEX('İzin Planı'!$L$6:$L$35,30-5)&lt;=('Özet'!$C$6+7*46)+6,INDEX('İzin Planı'!$M$6:$M$35,30-5)&gt;=('Özet'!$C$6+7*46))),"İ",""))</f>
      </c>
      <c r="AX30" s="13">
        <f>IF(INDEX('İzin Planı'!$C$6:$C$35,30-5)="","",IF(OR(AND(N(INDEX('İzin Planı'!$F$6:$F$35,30-5))&gt;0,INDEX('İzin Planı'!$F$6:$F$35,30-5)&lt;=('Özet'!$C$6+7*47)+6,INDEX('İzin Planı'!$G$6:$G$35,30-5)&gt;=('Özet'!$C$6+7*47)),AND(N(INDEX('İzin Planı'!$I$6:$I$35,30-5))&gt;0,INDEX('İzin Planı'!$I$6:$I$35,30-5)&lt;=('Özet'!$C$6+7*47)+6,INDEX('İzin Planı'!$J$6:$J$35,30-5)&gt;=('Özet'!$C$6+7*47)),AND(N(INDEX('İzin Planı'!$L$6:$L$35,30-5))&gt;0,INDEX('İzin Planı'!$L$6:$L$35,30-5)&lt;=('Özet'!$C$6+7*47)+6,INDEX('İzin Planı'!$M$6:$M$35,30-5)&gt;=('Özet'!$C$6+7*47))),"İ",""))</f>
      </c>
      <c r="AY30" s="13">
        <f>IF(INDEX('İzin Planı'!$C$6:$C$35,30-5)="","",IF(OR(AND(N(INDEX('İzin Planı'!$F$6:$F$35,30-5))&gt;0,INDEX('İzin Planı'!$F$6:$F$35,30-5)&lt;=('Özet'!$C$6+7*48)+6,INDEX('İzin Planı'!$G$6:$G$35,30-5)&gt;=('Özet'!$C$6+7*48)),AND(N(INDEX('İzin Planı'!$I$6:$I$35,30-5))&gt;0,INDEX('İzin Planı'!$I$6:$I$35,30-5)&lt;=('Özet'!$C$6+7*48)+6,INDEX('İzin Planı'!$J$6:$J$35,30-5)&gt;=('Özet'!$C$6+7*48)),AND(N(INDEX('İzin Planı'!$L$6:$L$35,30-5))&gt;0,INDEX('İzin Planı'!$L$6:$L$35,30-5)&lt;=('Özet'!$C$6+7*48)+6,INDEX('İzin Planı'!$M$6:$M$35,30-5)&gt;=('Özet'!$C$6+7*48))),"İ",""))</f>
      </c>
      <c r="AZ30" s="13">
        <f>IF(INDEX('İzin Planı'!$C$6:$C$35,30-5)="","",IF(OR(AND(N(INDEX('İzin Planı'!$F$6:$F$35,30-5))&gt;0,INDEX('İzin Planı'!$F$6:$F$35,30-5)&lt;=('Özet'!$C$6+7*49)+6,INDEX('İzin Planı'!$G$6:$G$35,30-5)&gt;=('Özet'!$C$6+7*49)),AND(N(INDEX('İzin Planı'!$I$6:$I$35,30-5))&gt;0,INDEX('İzin Planı'!$I$6:$I$35,30-5)&lt;=('Özet'!$C$6+7*49)+6,INDEX('İzin Planı'!$J$6:$J$35,30-5)&gt;=('Özet'!$C$6+7*49)),AND(N(INDEX('İzin Planı'!$L$6:$L$35,30-5))&gt;0,INDEX('İzin Planı'!$L$6:$L$35,30-5)&lt;=('Özet'!$C$6+7*49)+6,INDEX('İzin Planı'!$M$6:$M$35,30-5)&gt;=('Özet'!$C$6+7*49))),"İ",""))</f>
      </c>
      <c r="BA30" s="13">
        <f>IF(INDEX('İzin Planı'!$C$6:$C$35,30-5)="","",IF(OR(AND(N(INDEX('İzin Planı'!$F$6:$F$35,30-5))&gt;0,INDEX('İzin Planı'!$F$6:$F$35,30-5)&lt;=('Özet'!$C$6+7*50)+6,INDEX('İzin Planı'!$G$6:$G$35,30-5)&gt;=('Özet'!$C$6+7*50)),AND(N(INDEX('İzin Planı'!$I$6:$I$35,30-5))&gt;0,INDEX('İzin Planı'!$I$6:$I$35,30-5)&lt;=('Özet'!$C$6+7*50)+6,INDEX('İzin Planı'!$J$6:$J$35,30-5)&gt;=('Özet'!$C$6+7*50)),AND(N(INDEX('İzin Planı'!$L$6:$L$35,30-5))&gt;0,INDEX('İzin Planı'!$L$6:$L$35,30-5)&lt;=('Özet'!$C$6+7*50)+6,INDEX('İzin Planı'!$M$6:$M$35,30-5)&gt;=('Özet'!$C$6+7*50))),"İ",""))</f>
      </c>
      <c r="BB30" s="13">
        <f>IF(INDEX('İzin Planı'!$C$6:$C$35,30-5)="","",IF(OR(AND(N(INDEX('İzin Planı'!$F$6:$F$35,30-5))&gt;0,INDEX('İzin Planı'!$F$6:$F$35,30-5)&lt;=('Özet'!$C$6+7*51)+6,INDEX('İzin Planı'!$G$6:$G$35,30-5)&gt;=('Özet'!$C$6+7*51)),AND(N(INDEX('İzin Planı'!$I$6:$I$35,30-5))&gt;0,INDEX('İzin Planı'!$I$6:$I$35,30-5)&lt;=('Özet'!$C$6+7*51)+6,INDEX('İzin Planı'!$J$6:$J$35,30-5)&gt;=('Özet'!$C$6+7*51)),AND(N(INDEX('İzin Planı'!$L$6:$L$35,30-5))&gt;0,INDEX('İzin Planı'!$L$6:$L$35,30-5)&lt;=('Özet'!$C$6+7*51)+6,INDEX('İzin Planı'!$M$6:$M$35,30-5)&gt;=('Özet'!$C$6+7*51))),"İ",""))</f>
      </c>
      <c r="BC30" s="13">
        <f>IF(INDEX('İzin Planı'!$C$6:$C$35,30-5)="","",IF(OR(AND(N(INDEX('İzin Planı'!$F$6:$F$35,30-5))&gt;0,INDEX('İzin Planı'!$F$6:$F$35,30-5)&lt;=('Özet'!$C$6+7*52)+6,INDEX('İzin Planı'!$G$6:$G$35,30-5)&gt;=('Özet'!$C$6+7*52)),AND(N(INDEX('İzin Planı'!$I$6:$I$35,30-5))&gt;0,INDEX('İzin Planı'!$I$6:$I$35,30-5)&lt;=('Özet'!$C$6+7*52)+6,INDEX('İzin Planı'!$J$6:$J$35,30-5)&gt;=('Özet'!$C$6+7*52)),AND(N(INDEX('İzin Planı'!$L$6:$L$35,30-5))&gt;0,INDEX('İzin Planı'!$L$6:$L$35,30-5)&lt;=('Özet'!$C$6+7*52)+6,INDEX('İzin Planı'!$M$6:$M$35,30-5)&gt;=('Özet'!$C$6+7*52))),"İ",""))</f>
      </c>
    </row>
    <row r="31" ht="18" customHeight="1" spans="1:55" x14ac:dyDescent="0.25">
      <c r="A31" s="6">
        <v>26</v>
      </c>
      <c r="B31" s="13">
        <f>IF(INDEX('İzin Planı'!$C$6:$C$35,31-5)="","",INDEX('İzin Planı'!$C$6:$C$35,31-5))</f>
      </c>
      <c r="C31" s="13">
        <f>IF(INDEX('İzin Planı'!$C$6:$C$35,31-5)="","",IF(OR(AND(N(INDEX('İzin Planı'!$F$6:$F$35,31-5))&gt;0,INDEX('İzin Planı'!$F$6:$F$35,31-5)&lt;=('Özet'!$C$6+7*0)+6,INDEX('İzin Planı'!$G$6:$G$35,31-5)&gt;=('Özet'!$C$6+7*0)),AND(N(INDEX('İzin Planı'!$I$6:$I$35,31-5))&gt;0,INDEX('İzin Planı'!$I$6:$I$35,31-5)&lt;=('Özet'!$C$6+7*0)+6,INDEX('İzin Planı'!$J$6:$J$35,31-5)&gt;=('Özet'!$C$6+7*0)),AND(N(INDEX('İzin Planı'!$L$6:$L$35,31-5))&gt;0,INDEX('İzin Planı'!$L$6:$L$35,31-5)&lt;=('Özet'!$C$6+7*0)+6,INDEX('İzin Planı'!$M$6:$M$35,31-5)&gt;=('Özet'!$C$6+7*0))),"İ",""))</f>
      </c>
      <c r="D31" s="13">
        <f>IF(INDEX('İzin Planı'!$C$6:$C$35,31-5)="","",IF(OR(AND(N(INDEX('İzin Planı'!$F$6:$F$35,31-5))&gt;0,INDEX('İzin Planı'!$F$6:$F$35,31-5)&lt;=('Özet'!$C$6+7*1)+6,INDEX('İzin Planı'!$G$6:$G$35,31-5)&gt;=('Özet'!$C$6+7*1)),AND(N(INDEX('İzin Planı'!$I$6:$I$35,31-5))&gt;0,INDEX('İzin Planı'!$I$6:$I$35,31-5)&lt;=('Özet'!$C$6+7*1)+6,INDEX('İzin Planı'!$J$6:$J$35,31-5)&gt;=('Özet'!$C$6+7*1)),AND(N(INDEX('İzin Planı'!$L$6:$L$35,31-5))&gt;0,INDEX('İzin Planı'!$L$6:$L$35,31-5)&lt;=('Özet'!$C$6+7*1)+6,INDEX('İzin Planı'!$M$6:$M$35,31-5)&gt;=('Özet'!$C$6+7*1))),"İ",""))</f>
      </c>
      <c r="E31" s="13">
        <f>IF(INDEX('İzin Planı'!$C$6:$C$35,31-5)="","",IF(OR(AND(N(INDEX('İzin Planı'!$F$6:$F$35,31-5))&gt;0,INDEX('İzin Planı'!$F$6:$F$35,31-5)&lt;=('Özet'!$C$6+7*2)+6,INDEX('İzin Planı'!$G$6:$G$35,31-5)&gt;=('Özet'!$C$6+7*2)),AND(N(INDEX('İzin Planı'!$I$6:$I$35,31-5))&gt;0,INDEX('İzin Planı'!$I$6:$I$35,31-5)&lt;=('Özet'!$C$6+7*2)+6,INDEX('İzin Planı'!$J$6:$J$35,31-5)&gt;=('Özet'!$C$6+7*2)),AND(N(INDEX('İzin Planı'!$L$6:$L$35,31-5))&gt;0,INDEX('İzin Planı'!$L$6:$L$35,31-5)&lt;=('Özet'!$C$6+7*2)+6,INDEX('İzin Planı'!$M$6:$M$35,31-5)&gt;=('Özet'!$C$6+7*2))),"İ",""))</f>
      </c>
      <c r="F31" s="13">
        <f>IF(INDEX('İzin Planı'!$C$6:$C$35,31-5)="","",IF(OR(AND(N(INDEX('İzin Planı'!$F$6:$F$35,31-5))&gt;0,INDEX('İzin Planı'!$F$6:$F$35,31-5)&lt;=('Özet'!$C$6+7*3)+6,INDEX('İzin Planı'!$G$6:$G$35,31-5)&gt;=('Özet'!$C$6+7*3)),AND(N(INDEX('İzin Planı'!$I$6:$I$35,31-5))&gt;0,INDEX('İzin Planı'!$I$6:$I$35,31-5)&lt;=('Özet'!$C$6+7*3)+6,INDEX('İzin Planı'!$J$6:$J$35,31-5)&gt;=('Özet'!$C$6+7*3)),AND(N(INDEX('İzin Planı'!$L$6:$L$35,31-5))&gt;0,INDEX('İzin Planı'!$L$6:$L$35,31-5)&lt;=('Özet'!$C$6+7*3)+6,INDEX('İzin Planı'!$M$6:$M$35,31-5)&gt;=('Özet'!$C$6+7*3))),"İ",""))</f>
      </c>
      <c r="G31" s="13">
        <f>IF(INDEX('İzin Planı'!$C$6:$C$35,31-5)="","",IF(OR(AND(N(INDEX('İzin Planı'!$F$6:$F$35,31-5))&gt;0,INDEX('İzin Planı'!$F$6:$F$35,31-5)&lt;=('Özet'!$C$6+7*4)+6,INDEX('İzin Planı'!$G$6:$G$35,31-5)&gt;=('Özet'!$C$6+7*4)),AND(N(INDEX('İzin Planı'!$I$6:$I$35,31-5))&gt;0,INDEX('İzin Planı'!$I$6:$I$35,31-5)&lt;=('Özet'!$C$6+7*4)+6,INDEX('İzin Planı'!$J$6:$J$35,31-5)&gt;=('Özet'!$C$6+7*4)),AND(N(INDEX('İzin Planı'!$L$6:$L$35,31-5))&gt;0,INDEX('İzin Planı'!$L$6:$L$35,31-5)&lt;=('Özet'!$C$6+7*4)+6,INDEX('İzin Planı'!$M$6:$M$35,31-5)&gt;=('Özet'!$C$6+7*4))),"İ",""))</f>
      </c>
      <c r="H31" s="13">
        <f>IF(INDEX('İzin Planı'!$C$6:$C$35,31-5)="","",IF(OR(AND(N(INDEX('İzin Planı'!$F$6:$F$35,31-5))&gt;0,INDEX('İzin Planı'!$F$6:$F$35,31-5)&lt;=('Özet'!$C$6+7*5)+6,INDEX('İzin Planı'!$G$6:$G$35,31-5)&gt;=('Özet'!$C$6+7*5)),AND(N(INDEX('İzin Planı'!$I$6:$I$35,31-5))&gt;0,INDEX('İzin Planı'!$I$6:$I$35,31-5)&lt;=('Özet'!$C$6+7*5)+6,INDEX('İzin Planı'!$J$6:$J$35,31-5)&gt;=('Özet'!$C$6+7*5)),AND(N(INDEX('İzin Planı'!$L$6:$L$35,31-5))&gt;0,INDEX('İzin Planı'!$L$6:$L$35,31-5)&lt;=('Özet'!$C$6+7*5)+6,INDEX('İzin Planı'!$M$6:$M$35,31-5)&gt;=('Özet'!$C$6+7*5))),"İ",""))</f>
      </c>
      <c r="I31" s="13">
        <f>IF(INDEX('İzin Planı'!$C$6:$C$35,31-5)="","",IF(OR(AND(N(INDEX('İzin Planı'!$F$6:$F$35,31-5))&gt;0,INDEX('İzin Planı'!$F$6:$F$35,31-5)&lt;=('Özet'!$C$6+7*6)+6,INDEX('İzin Planı'!$G$6:$G$35,31-5)&gt;=('Özet'!$C$6+7*6)),AND(N(INDEX('İzin Planı'!$I$6:$I$35,31-5))&gt;0,INDEX('İzin Planı'!$I$6:$I$35,31-5)&lt;=('Özet'!$C$6+7*6)+6,INDEX('İzin Planı'!$J$6:$J$35,31-5)&gt;=('Özet'!$C$6+7*6)),AND(N(INDEX('İzin Planı'!$L$6:$L$35,31-5))&gt;0,INDEX('İzin Planı'!$L$6:$L$35,31-5)&lt;=('Özet'!$C$6+7*6)+6,INDEX('İzin Planı'!$M$6:$M$35,31-5)&gt;=('Özet'!$C$6+7*6))),"İ",""))</f>
      </c>
      <c r="J31" s="13">
        <f>IF(INDEX('İzin Planı'!$C$6:$C$35,31-5)="","",IF(OR(AND(N(INDEX('İzin Planı'!$F$6:$F$35,31-5))&gt;0,INDEX('İzin Planı'!$F$6:$F$35,31-5)&lt;=('Özet'!$C$6+7*7)+6,INDEX('İzin Planı'!$G$6:$G$35,31-5)&gt;=('Özet'!$C$6+7*7)),AND(N(INDEX('İzin Planı'!$I$6:$I$35,31-5))&gt;0,INDEX('İzin Planı'!$I$6:$I$35,31-5)&lt;=('Özet'!$C$6+7*7)+6,INDEX('İzin Planı'!$J$6:$J$35,31-5)&gt;=('Özet'!$C$6+7*7)),AND(N(INDEX('İzin Planı'!$L$6:$L$35,31-5))&gt;0,INDEX('İzin Planı'!$L$6:$L$35,31-5)&lt;=('Özet'!$C$6+7*7)+6,INDEX('İzin Planı'!$M$6:$M$35,31-5)&gt;=('Özet'!$C$6+7*7))),"İ",""))</f>
      </c>
      <c r="K31" s="13">
        <f>IF(INDEX('İzin Planı'!$C$6:$C$35,31-5)="","",IF(OR(AND(N(INDEX('İzin Planı'!$F$6:$F$35,31-5))&gt;0,INDEX('İzin Planı'!$F$6:$F$35,31-5)&lt;=('Özet'!$C$6+7*8)+6,INDEX('İzin Planı'!$G$6:$G$35,31-5)&gt;=('Özet'!$C$6+7*8)),AND(N(INDEX('İzin Planı'!$I$6:$I$35,31-5))&gt;0,INDEX('İzin Planı'!$I$6:$I$35,31-5)&lt;=('Özet'!$C$6+7*8)+6,INDEX('İzin Planı'!$J$6:$J$35,31-5)&gt;=('Özet'!$C$6+7*8)),AND(N(INDEX('İzin Planı'!$L$6:$L$35,31-5))&gt;0,INDEX('İzin Planı'!$L$6:$L$35,31-5)&lt;=('Özet'!$C$6+7*8)+6,INDEX('İzin Planı'!$M$6:$M$35,31-5)&gt;=('Özet'!$C$6+7*8))),"İ",""))</f>
      </c>
      <c r="L31" s="13">
        <f>IF(INDEX('İzin Planı'!$C$6:$C$35,31-5)="","",IF(OR(AND(N(INDEX('İzin Planı'!$F$6:$F$35,31-5))&gt;0,INDEX('İzin Planı'!$F$6:$F$35,31-5)&lt;=('Özet'!$C$6+7*9)+6,INDEX('İzin Planı'!$G$6:$G$35,31-5)&gt;=('Özet'!$C$6+7*9)),AND(N(INDEX('İzin Planı'!$I$6:$I$35,31-5))&gt;0,INDEX('İzin Planı'!$I$6:$I$35,31-5)&lt;=('Özet'!$C$6+7*9)+6,INDEX('İzin Planı'!$J$6:$J$35,31-5)&gt;=('Özet'!$C$6+7*9)),AND(N(INDEX('İzin Planı'!$L$6:$L$35,31-5))&gt;0,INDEX('İzin Planı'!$L$6:$L$35,31-5)&lt;=('Özet'!$C$6+7*9)+6,INDEX('İzin Planı'!$M$6:$M$35,31-5)&gt;=('Özet'!$C$6+7*9))),"İ",""))</f>
      </c>
      <c r="M31" s="13">
        <f>IF(INDEX('İzin Planı'!$C$6:$C$35,31-5)="","",IF(OR(AND(N(INDEX('İzin Planı'!$F$6:$F$35,31-5))&gt;0,INDEX('İzin Planı'!$F$6:$F$35,31-5)&lt;=('Özet'!$C$6+7*10)+6,INDEX('İzin Planı'!$G$6:$G$35,31-5)&gt;=('Özet'!$C$6+7*10)),AND(N(INDEX('İzin Planı'!$I$6:$I$35,31-5))&gt;0,INDEX('İzin Planı'!$I$6:$I$35,31-5)&lt;=('Özet'!$C$6+7*10)+6,INDEX('İzin Planı'!$J$6:$J$35,31-5)&gt;=('Özet'!$C$6+7*10)),AND(N(INDEX('İzin Planı'!$L$6:$L$35,31-5))&gt;0,INDEX('İzin Planı'!$L$6:$L$35,31-5)&lt;=('Özet'!$C$6+7*10)+6,INDEX('İzin Planı'!$M$6:$M$35,31-5)&gt;=('Özet'!$C$6+7*10))),"İ",""))</f>
      </c>
      <c r="N31" s="13">
        <f>IF(INDEX('İzin Planı'!$C$6:$C$35,31-5)="","",IF(OR(AND(N(INDEX('İzin Planı'!$F$6:$F$35,31-5))&gt;0,INDEX('İzin Planı'!$F$6:$F$35,31-5)&lt;=('Özet'!$C$6+7*11)+6,INDEX('İzin Planı'!$G$6:$G$35,31-5)&gt;=('Özet'!$C$6+7*11)),AND(N(INDEX('İzin Planı'!$I$6:$I$35,31-5))&gt;0,INDEX('İzin Planı'!$I$6:$I$35,31-5)&lt;=('Özet'!$C$6+7*11)+6,INDEX('İzin Planı'!$J$6:$J$35,31-5)&gt;=('Özet'!$C$6+7*11)),AND(N(INDEX('İzin Planı'!$L$6:$L$35,31-5))&gt;0,INDEX('İzin Planı'!$L$6:$L$35,31-5)&lt;=('Özet'!$C$6+7*11)+6,INDEX('İzin Planı'!$M$6:$M$35,31-5)&gt;=('Özet'!$C$6+7*11))),"İ",""))</f>
      </c>
      <c r="O31" s="13">
        <f>IF(INDEX('İzin Planı'!$C$6:$C$35,31-5)="","",IF(OR(AND(N(INDEX('İzin Planı'!$F$6:$F$35,31-5))&gt;0,INDEX('İzin Planı'!$F$6:$F$35,31-5)&lt;=('Özet'!$C$6+7*12)+6,INDEX('İzin Planı'!$G$6:$G$35,31-5)&gt;=('Özet'!$C$6+7*12)),AND(N(INDEX('İzin Planı'!$I$6:$I$35,31-5))&gt;0,INDEX('İzin Planı'!$I$6:$I$35,31-5)&lt;=('Özet'!$C$6+7*12)+6,INDEX('İzin Planı'!$J$6:$J$35,31-5)&gt;=('Özet'!$C$6+7*12)),AND(N(INDEX('İzin Planı'!$L$6:$L$35,31-5))&gt;0,INDEX('İzin Planı'!$L$6:$L$35,31-5)&lt;=('Özet'!$C$6+7*12)+6,INDEX('İzin Planı'!$M$6:$M$35,31-5)&gt;=('Özet'!$C$6+7*12))),"İ",""))</f>
      </c>
      <c r="P31" s="13">
        <f>IF(INDEX('İzin Planı'!$C$6:$C$35,31-5)="","",IF(OR(AND(N(INDEX('İzin Planı'!$F$6:$F$35,31-5))&gt;0,INDEX('İzin Planı'!$F$6:$F$35,31-5)&lt;=('Özet'!$C$6+7*13)+6,INDEX('İzin Planı'!$G$6:$G$35,31-5)&gt;=('Özet'!$C$6+7*13)),AND(N(INDEX('İzin Planı'!$I$6:$I$35,31-5))&gt;0,INDEX('İzin Planı'!$I$6:$I$35,31-5)&lt;=('Özet'!$C$6+7*13)+6,INDEX('İzin Planı'!$J$6:$J$35,31-5)&gt;=('Özet'!$C$6+7*13)),AND(N(INDEX('İzin Planı'!$L$6:$L$35,31-5))&gt;0,INDEX('İzin Planı'!$L$6:$L$35,31-5)&lt;=('Özet'!$C$6+7*13)+6,INDEX('İzin Planı'!$M$6:$M$35,31-5)&gt;=('Özet'!$C$6+7*13))),"İ",""))</f>
      </c>
      <c r="Q31" s="13">
        <f>IF(INDEX('İzin Planı'!$C$6:$C$35,31-5)="","",IF(OR(AND(N(INDEX('İzin Planı'!$F$6:$F$35,31-5))&gt;0,INDEX('İzin Planı'!$F$6:$F$35,31-5)&lt;=('Özet'!$C$6+7*14)+6,INDEX('İzin Planı'!$G$6:$G$35,31-5)&gt;=('Özet'!$C$6+7*14)),AND(N(INDEX('İzin Planı'!$I$6:$I$35,31-5))&gt;0,INDEX('İzin Planı'!$I$6:$I$35,31-5)&lt;=('Özet'!$C$6+7*14)+6,INDEX('İzin Planı'!$J$6:$J$35,31-5)&gt;=('Özet'!$C$6+7*14)),AND(N(INDEX('İzin Planı'!$L$6:$L$35,31-5))&gt;0,INDEX('İzin Planı'!$L$6:$L$35,31-5)&lt;=('Özet'!$C$6+7*14)+6,INDEX('İzin Planı'!$M$6:$M$35,31-5)&gt;=('Özet'!$C$6+7*14))),"İ",""))</f>
      </c>
      <c r="R31" s="13">
        <f>IF(INDEX('İzin Planı'!$C$6:$C$35,31-5)="","",IF(OR(AND(N(INDEX('İzin Planı'!$F$6:$F$35,31-5))&gt;0,INDEX('İzin Planı'!$F$6:$F$35,31-5)&lt;=('Özet'!$C$6+7*15)+6,INDEX('İzin Planı'!$G$6:$G$35,31-5)&gt;=('Özet'!$C$6+7*15)),AND(N(INDEX('İzin Planı'!$I$6:$I$35,31-5))&gt;0,INDEX('İzin Planı'!$I$6:$I$35,31-5)&lt;=('Özet'!$C$6+7*15)+6,INDEX('İzin Planı'!$J$6:$J$35,31-5)&gt;=('Özet'!$C$6+7*15)),AND(N(INDEX('İzin Planı'!$L$6:$L$35,31-5))&gt;0,INDEX('İzin Planı'!$L$6:$L$35,31-5)&lt;=('Özet'!$C$6+7*15)+6,INDEX('İzin Planı'!$M$6:$M$35,31-5)&gt;=('Özet'!$C$6+7*15))),"İ",""))</f>
      </c>
      <c r="S31" s="13">
        <f>IF(INDEX('İzin Planı'!$C$6:$C$35,31-5)="","",IF(OR(AND(N(INDEX('İzin Planı'!$F$6:$F$35,31-5))&gt;0,INDEX('İzin Planı'!$F$6:$F$35,31-5)&lt;=('Özet'!$C$6+7*16)+6,INDEX('İzin Planı'!$G$6:$G$35,31-5)&gt;=('Özet'!$C$6+7*16)),AND(N(INDEX('İzin Planı'!$I$6:$I$35,31-5))&gt;0,INDEX('İzin Planı'!$I$6:$I$35,31-5)&lt;=('Özet'!$C$6+7*16)+6,INDEX('İzin Planı'!$J$6:$J$35,31-5)&gt;=('Özet'!$C$6+7*16)),AND(N(INDEX('İzin Planı'!$L$6:$L$35,31-5))&gt;0,INDEX('İzin Planı'!$L$6:$L$35,31-5)&lt;=('Özet'!$C$6+7*16)+6,INDEX('İzin Planı'!$M$6:$M$35,31-5)&gt;=('Özet'!$C$6+7*16))),"İ",""))</f>
      </c>
      <c r="T31" s="13">
        <f>IF(INDEX('İzin Planı'!$C$6:$C$35,31-5)="","",IF(OR(AND(N(INDEX('İzin Planı'!$F$6:$F$35,31-5))&gt;0,INDEX('İzin Planı'!$F$6:$F$35,31-5)&lt;=('Özet'!$C$6+7*17)+6,INDEX('İzin Planı'!$G$6:$G$35,31-5)&gt;=('Özet'!$C$6+7*17)),AND(N(INDEX('İzin Planı'!$I$6:$I$35,31-5))&gt;0,INDEX('İzin Planı'!$I$6:$I$35,31-5)&lt;=('Özet'!$C$6+7*17)+6,INDEX('İzin Planı'!$J$6:$J$35,31-5)&gt;=('Özet'!$C$6+7*17)),AND(N(INDEX('İzin Planı'!$L$6:$L$35,31-5))&gt;0,INDEX('İzin Planı'!$L$6:$L$35,31-5)&lt;=('Özet'!$C$6+7*17)+6,INDEX('İzin Planı'!$M$6:$M$35,31-5)&gt;=('Özet'!$C$6+7*17))),"İ",""))</f>
      </c>
      <c r="U31" s="13">
        <f>IF(INDEX('İzin Planı'!$C$6:$C$35,31-5)="","",IF(OR(AND(N(INDEX('İzin Planı'!$F$6:$F$35,31-5))&gt;0,INDEX('İzin Planı'!$F$6:$F$35,31-5)&lt;=('Özet'!$C$6+7*18)+6,INDEX('İzin Planı'!$G$6:$G$35,31-5)&gt;=('Özet'!$C$6+7*18)),AND(N(INDEX('İzin Planı'!$I$6:$I$35,31-5))&gt;0,INDEX('İzin Planı'!$I$6:$I$35,31-5)&lt;=('Özet'!$C$6+7*18)+6,INDEX('İzin Planı'!$J$6:$J$35,31-5)&gt;=('Özet'!$C$6+7*18)),AND(N(INDEX('İzin Planı'!$L$6:$L$35,31-5))&gt;0,INDEX('İzin Planı'!$L$6:$L$35,31-5)&lt;=('Özet'!$C$6+7*18)+6,INDEX('İzin Planı'!$M$6:$M$35,31-5)&gt;=('Özet'!$C$6+7*18))),"İ",""))</f>
      </c>
      <c r="V31" s="13">
        <f>IF(INDEX('İzin Planı'!$C$6:$C$35,31-5)="","",IF(OR(AND(N(INDEX('İzin Planı'!$F$6:$F$35,31-5))&gt;0,INDEX('İzin Planı'!$F$6:$F$35,31-5)&lt;=('Özet'!$C$6+7*19)+6,INDEX('İzin Planı'!$G$6:$G$35,31-5)&gt;=('Özet'!$C$6+7*19)),AND(N(INDEX('İzin Planı'!$I$6:$I$35,31-5))&gt;0,INDEX('İzin Planı'!$I$6:$I$35,31-5)&lt;=('Özet'!$C$6+7*19)+6,INDEX('İzin Planı'!$J$6:$J$35,31-5)&gt;=('Özet'!$C$6+7*19)),AND(N(INDEX('İzin Planı'!$L$6:$L$35,31-5))&gt;0,INDEX('İzin Planı'!$L$6:$L$35,31-5)&lt;=('Özet'!$C$6+7*19)+6,INDEX('İzin Planı'!$M$6:$M$35,31-5)&gt;=('Özet'!$C$6+7*19))),"İ",""))</f>
      </c>
      <c r="W31" s="13">
        <f>IF(INDEX('İzin Planı'!$C$6:$C$35,31-5)="","",IF(OR(AND(N(INDEX('İzin Planı'!$F$6:$F$35,31-5))&gt;0,INDEX('İzin Planı'!$F$6:$F$35,31-5)&lt;=('Özet'!$C$6+7*20)+6,INDEX('İzin Planı'!$G$6:$G$35,31-5)&gt;=('Özet'!$C$6+7*20)),AND(N(INDEX('İzin Planı'!$I$6:$I$35,31-5))&gt;0,INDEX('İzin Planı'!$I$6:$I$35,31-5)&lt;=('Özet'!$C$6+7*20)+6,INDEX('İzin Planı'!$J$6:$J$35,31-5)&gt;=('Özet'!$C$6+7*20)),AND(N(INDEX('İzin Planı'!$L$6:$L$35,31-5))&gt;0,INDEX('İzin Planı'!$L$6:$L$35,31-5)&lt;=('Özet'!$C$6+7*20)+6,INDEX('İzin Planı'!$M$6:$M$35,31-5)&gt;=('Özet'!$C$6+7*20))),"İ",""))</f>
      </c>
      <c r="X31" s="13">
        <f>IF(INDEX('İzin Planı'!$C$6:$C$35,31-5)="","",IF(OR(AND(N(INDEX('İzin Planı'!$F$6:$F$35,31-5))&gt;0,INDEX('İzin Planı'!$F$6:$F$35,31-5)&lt;=('Özet'!$C$6+7*21)+6,INDEX('İzin Planı'!$G$6:$G$35,31-5)&gt;=('Özet'!$C$6+7*21)),AND(N(INDEX('İzin Planı'!$I$6:$I$35,31-5))&gt;0,INDEX('İzin Planı'!$I$6:$I$35,31-5)&lt;=('Özet'!$C$6+7*21)+6,INDEX('İzin Planı'!$J$6:$J$35,31-5)&gt;=('Özet'!$C$6+7*21)),AND(N(INDEX('İzin Planı'!$L$6:$L$35,31-5))&gt;0,INDEX('İzin Planı'!$L$6:$L$35,31-5)&lt;=('Özet'!$C$6+7*21)+6,INDEX('İzin Planı'!$M$6:$M$35,31-5)&gt;=('Özet'!$C$6+7*21))),"İ",""))</f>
      </c>
      <c r="Y31" s="13">
        <f>IF(INDEX('İzin Planı'!$C$6:$C$35,31-5)="","",IF(OR(AND(N(INDEX('İzin Planı'!$F$6:$F$35,31-5))&gt;0,INDEX('İzin Planı'!$F$6:$F$35,31-5)&lt;=('Özet'!$C$6+7*22)+6,INDEX('İzin Planı'!$G$6:$G$35,31-5)&gt;=('Özet'!$C$6+7*22)),AND(N(INDEX('İzin Planı'!$I$6:$I$35,31-5))&gt;0,INDEX('İzin Planı'!$I$6:$I$35,31-5)&lt;=('Özet'!$C$6+7*22)+6,INDEX('İzin Planı'!$J$6:$J$35,31-5)&gt;=('Özet'!$C$6+7*22)),AND(N(INDEX('İzin Planı'!$L$6:$L$35,31-5))&gt;0,INDEX('İzin Planı'!$L$6:$L$35,31-5)&lt;=('Özet'!$C$6+7*22)+6,INDEX('İzin Planı'!$M$6:$M$35,31-5)&gt;=('Özet'!$C$6+7*22))),"İ",""))</f>
      </c>
      <c r="Z31" s="13">
        <f>IF(INDEX('İzin Planı'!$C$6:$C$35,31-5)="","",IF(OR(AND(N(INDEX('İzin Planı'!$F$6:$F$35,31-5))&gt;0,INDEX('İzin Planı'!$F$6:$F$35,31-5)&lt;=('Özet'!$C$6+7*23)+6,INDEX('İzin Planı'!$G$6:$G$35,31-5)&gt;=('Özet'!$C$6+7*23)),AND(N(INDEX('İzin Planı'!$I$6:$I$35,31-5))&gt;0,INDEX('İzin Planı'!$I$6:$I$35,31-5)&lt;=('Özet'!$C$6+7*23)+6,INDEX('İzin Planı'!$J$6:$J$35,31-5)&gt;=('Özet'!$C$6+7*23)),AND(N(INDEX('İzin Planı'!$L$6:$L$35,31-5))&gt;0,INDEX('İzin Planı'!$L$6:$L$35,31-5)&lt;=('Özet'!$C$6+7*23)+6,INDEX('İzin Planı'!$M$6:$M$35,31-5)&gt;=('Özet'!$C$6+7*23))),"İ",""))</f>
      </c>
      <c r="AA31" s="13">
        <f>IF(INDEX('İzin Planı'!$C$6:$C$35,31-5)="","",IF(OR(AND(N(INDEX('İzin Planı'!$F$6:$F$35,31-5))&gt;0,INDEX('İzin Planı'!$F$6:$F$35,31-5)&lt;=('Özet'!$C$6+7*24)+6,INDEX('İzin Planı'!$G$6:$G$35,31-5)&gt;=('Özet'!$C$6+7*24)),AND(N(INDEX('İzin Planı'!$I$6:$I$35,31-5))&gt;0,INDEX('İzin Planı'!$I$6:$I$35,31-5)&lt;=('Özet'!$C$6+7*24)+6,INDEX('İzin Planı'!$J$6:$J$35,31-5)&gt;=('Özet'!$C$6+7*24)),AND(N(INDEX('İzin Planı'!$L$6:$L$35,31-5))&gt;0,INDEX('İzin Planı'!$L$6:$L$35,31-5)&lt;=('Özet'!$C$6+7*24)+6,INDEX('İzin Planı'!$M$6:$M$35,31-5)&gt;=('Özet'!$C$6+7*24))),"İ",""))</f>
      </c>
      <c r="AB31" s="13">
        <f>IF(INDEX('İzin Planı'!$C$6:$C$35,31-5)="","",IF(OR(AND(N(INDEX('İzin Planı'!$F$6:$F$35,31-5))&gt;0,INDEX('İzin Planı'!$F$6:$F$35,31-5)&lt;=('Özet'!$C$6+7*25)+6,INDEX('İzin Planı'!$G$6:$G$35,31-5)&gt;=('Özet'!$C$6+7*25)),AND(N(INDEX('İzin Planı'!$I$6:$I$35,31-5))&gt;0,INDEX('İzin Planı'!$I$6:$I$35,31-5)&lt;=('Özet'!$C$6+7*25)+6,INDEX('İzin Planı'!$J$6:$J$35,31-5)&gt;=('Özet'!$C$6+7*25)),AND(N(INDEX('İzin Planı'!$L$6:$L$35,31-5))&gt;0,INDEX('İzin Planı'!$L$6:$L$35,31-5)&lt;=('Özet'!$C$6+7*25)+6,INDEX('İzin Planı'!$M$6:$M$35,31-5)&gt;=('Özet'!$C$6+7*25))),"İ",""))</f>
      </c>
      <c r="AC31" s="13">
        <f>IF(INDEX('İzin Planı'!$C$6:$C$35,31-5)="","",IF(OR(AND(N(INDEX('İzin Planı'!$F$6:$F$35,31-5))&gt;0,INDEX('İzin Planı'!$F$6:$F$35,31-5)&lt;=('Özet'!$C$6+7*26)+6,INDEX('İzin Planı'!$G$6:$G$35,31-5)&gt;=('Özet'!$C$6+7*26)),AND(N(INDEX('İzin Planı'!$I$6:$I$35,31-5))&gt;0,INDEX('İzin Planı'!$I$6:$I$35,31-5)&lt;=('Özet'!$C$6+7*26)+6,INDEX('İzin Planı'!$J$6:$J$35,31-5)&gt;=('Özet'!$C$6+7*26)),AND(N(INDEX('İzin Planı'!$L$6:$L$35,31-5))&gt;0,INDEX('İzin Planı'!$L$6:$L$35,31-5)&lt;=('Özet'!$C$6+7*26)+6,INDEX('İzin Planı'!$M$6:$M$35,31-5)&gt;=('Özet'!$C$6+7*26))),"İ",""))</f>
      </c>
      <c r="AD31" s="13">
        <f>IF(INDEX('İzin Planı'!$C$6:$C$35,31-5)="","",IF(OR(AND(N(INDEX('İzin Planı'!$F$6:$F$35,31-5))&gt;0,INDEX('İzin Planı'!$F$6:$F$35,31-5)&lt;=('Özet'!$C$6+7*27)+6,INDEX('İzin Planı'!$G$6:$G$35,31-5)&gt;=('Özet'!$C$6+7*27)),AND(N(INDEX('İzin Planı'!$I$6:$I$35,31-5))&gt;0,INDEX('İzin Planı'!$I$6:$I$35,31-5)&lt;=('Özet'!$C$6+7*27)+6,INDEX('İzin Planı'!$J$6:$J$35,31-5)&gt;=('Özet'!$C$6+7*27)),AND(N(INDEX('İzin Planı'!$L$6:$L$35,31-5))&gt;0,INDEX('İzin Planı'!$L$6:$L$35,31-5)&lt;=('Özet'!$C$6+7*27)+6,INDEX('İzin Planı'!$M$6:$M$35,31-5)&gt;=('Özet'!$C$6+7*27))),"İ",""))</f>
      </c>
      <c r="AE31" s="13">
        <f>IF(INDEX('İzin Planı'!$C$6:$C$35,31-5)="","",IF(OR(AND(N(INDEX('İzin Planı'!$F$6:$F$35,31-5))&gt;0,INDEX('İzin Planı'!$F$6:$F$35,31-5)&lt;=('Özet'!$C$6+7*28)+6,INDEX('İzin Planı'!$G$6:$G$35,31-5)&gt;=('Özet'!$C$6+7*28)),AND(N(INDEX('İzin Planı'!$I$6:$I$35,31-5))&gt;0,INDEX('İzin Planı'!$I$6:$I$35,31-5)&lt;=('Özet'!$C$6+7*28)+6,INDEX('İzin Planı'!$J$6:$J$35,31-5)&gt;=('Özet'!$C$6+7*28)),AND(N(INDEX('İzin Planı'!$L$6:$L$35,31-5))&gt;0,INDEX('İzin Planı'!$L$6:$L$35,31-5)&lt;=('Özet'!$C$6+7*28)+6,INDEX('İzin Planı'!$M$6:$M$35,31-5)&gt;=('Özet'!$C$6+7*28))),"İ",""))</f>
      </c>
      <c r="AF31" s="13">
        <f>IF(INDEX('İzin Planı'!$C$6:$C$35,31-5)="","",IF(OR(AND(N(INDEX('İzin Planı'!$F$6:$F$35,31-5))&gt;0,INDEX('İzin Planı'!$F$6:$F$35,31-5)&lt;=('Özet'!$C$6+7*29)+6,INDEX('İzin Planı'!$G$6:$G$35,31-5)&gt;=('Özet'!$C$6+7*29)),AND(N(INDEX('İzin Planı'!$I$6:$I$35,31-5))&gt;0,INDEX('İzin Planı'!$I$6:$I$35,31-5)&lt;=('Özet'!$C$6+7*29)+6,INDEX('İzin Planı'!$J$6:$J$35,31-5)&gt;=('Özet'!$C$6+7*29)),AND(N(INDEX('İzin Planı'!$L$6:$L$35,31-5))&gt;0,INDEX('İzin Planı'!$L$6:$L$35,31-5)&lt;=('Özet'!$C$6+7*29)+6,INDEX('İzin Planı'!$M$6:$M$35,31-5)&gt;=('Özet'!$C$6+7*29))),"İ",""))</f>
      </c>
      <c r="AG31" s="13">
        <f>IF(INDEX('İzin Planı'!$C$6:$C$35,31-5)="","",IF(OR(AND(N(INDEX('İzin Planı'!$F$6:$F$35,31-5))&gt;0,INDEX('İzin Planı'!$F$6:$F$35,31-5)&lt;=('Özet'!$C$6+7*30)+6,INDEX('İzin Planı'!$G$6:$G$35,31-5)&gt;=('Özet'!$C$6+7*30)),AND(N(INDEX('İzin Planı'!$I$6:$I$35,31-5))&gt;0,INDEX('İzin Planı'!$I$6:$I$35,31-5)&lt;=('Özet'!$C$6+7*30)+6,INDEX('İzin Planı'!$J$6:$J$35,31-5)&gt;=('Özet'!$C$6+7*30)),AND(N(INDEX('İzin Planı'!$L$6:$L$35,31-5))&gt;0,INDEX('İzin Planı'!$L$6:$L$35,31-5)&lt;=('Özet'!$C$6+7*30)+6,INDEX('İzin Planı'!$M$6:$M$35,31-5)&gt;=('Özet'!$C$6+7*30))),"İ",""))</f>
      </c>
      <c r="AH31" s="13">
        <f>IF(INDEX('İzin Planı'!$C$6:$C$35,31-5)="","",IF(OR(AND(N(INDEX('İzin Planı'!$F$6:$F$35,31-5))&gt;0,INDEX('İzin Planı'!$F$6:$F$35,31-5)&lt;=('Özet'!$C$6+7*31)+6,INDEX('İzin Planı'!$G$6:$G$35,31-5)&gt;=('Özet'!$C$6+7*31)),AND(N(INDEX('İzin Planı'!$I$6:$I$35,31-5))&gt;0,INDEX('İzin Planı'!$I$6:$I$35,31-5)&lt;=('Özet'!$C$6+7*31)+6,INDEX('İzin Planı'!$J$6:$J$35,31-5)&gt;=('Özet'!$C$6+7*31)),AND(N(INDEX('İzin Planı'!$L$6:$L$35,31-5))&gt;0,INDEX('İzin Planı'!$L$6:$L$35,31-5)&lt;=('Özet'!$C$6+7*31)+6,INDEX('İzin Planı'!$M$6:$M$35,31-5)&gt;=('Özet'!$C$6+7*31))),"İ",""))</f>
      </c>
      <c r="AI31" s="13">
        <f>IF(INDEX('İzin Planı'!$C$6:$C$35,31-5)="","",IF(OR(AND(N(INDEX('İzin Planı'!$F$6:$F$35,31-5))&gt;0,INDEX('İzin Planı'!$F$6:$F$35,31-5)&lt;=('Özet'!$C$6+7*32)+6,INDEX('İzin Planı'!$G$6:$G$35,31-5)&gt;=('Özet'!$C$6+7*32)),AND(N(INDEX('İzin Planı'!$I$6:$I$35,31-5))&gt;0,INDEX('İzin Planı'!$I$6:$I$35,31-5)&lt;=('Özet'!$C$6+7*32)+6,INDEX('İzin Planı'!$J$6:$J$35,31-5)&gt;=('Özet'!$C$6+7*32)),AND(N(INDEX('İzin Planı'!$L$6:$L$35,31-5))&gt;0,INDEX('İzin Planı'!$L$6:$L$35,31-5)&lt;=('Özet'!$C$6+7*32)+6,INDEX('İzin Planı'!$M$6:$M$35,31-5)&gt;=('Özet'!$C$6+7*32))),"İ",""))</f>
      </c>
      <c r="AJ31" s="13">
        <f>IF(INDEX('İzin Planı'!$C$6:$C$35,31-5)="","",IF(OR(AND(N(INDEX('İzin Planı'!$F$6:$F$35,31-5))&gt;0,INDEX('İzin Planı'!$F$6:$F$35,31-5)&lt;=('Özet'!$C$6+7*33)+6,INDEX('İzin Planı'!$G$6:$G$35,31-5)&gt;=('Özet'!$C$6+7*33)),AND(N(INDEX('İzin Planı'!$I$6:$I$35,31-5))&gt;0,INDEX('İzin Planı'!$I$6:$I$35,31-5)&lt;=('Özet'!$C$6+7*33)+6,INDEX('İzin Planı'!$J$6:$J$35,31-5)&gt;=('Özet'!$C$6+7*33)),AND(N(INDEX('İzin Planı'!$L$6:$L$35,31-5))&gt;0,INDEX('İzin Planı'!$L$6:$L$35,31-5)&lt;=('Özet'!$C$6+7*33)+6,INDEX('İzin Planı'!$M$6:$M$35,31-5)&gt;=('Özet'!$C$6+7*33))),"İ",""))</f>
      </c>
      <c r="AK31" s="13">
        <f>IF(INDEX('İzin Planı'!$C$6:$C$35,31-5)="","",IF(OR(AND(N(INDEX('İzin Planı'!$F$6:$F$35,31-5))&gt;0,INDEX('İzin Planı'!$F$6:$F$35,31-5)&lt;=('Özet'!$C$6+7*34)+6,INDEX('İzin Planı'!$G$6:$G$35,31-5)&gt;=('Özet'!$C$6+7*34)),AND(N(INDEX('İzin Planı'!$I$6:$I$35,31-5))&gt;0,INDEX('İzin Planı'!$I$6:$I$35,31-5)&lt;=('Özet'!$C$6+7*34)+6,INDEX('İzin Planı'!$J$6:$J$35,31-5)&gt;=('Özet'!$C$6+7*34)),AND(N(INDEX('İzin Planı'!$L$6:$L$35,31-5))&gt;0,INDEX('İzin Planı'!$L$6:$L$35,31-5)&lt;=('Özet'!$C$6+7*34)+6,INDEX('İzin Planı'!$M$6:$M$35,31-5)&gt;=('Özet'!$C$6+7*34))),"İ",""))</f>
      </c>
      <c r="AL31" s="13">
        <f>IF(INDEX('İzin Planı'!$C$6:$C$35,31-5)="","",IF(OR(AND(N(INDEX('İzin Planı'!$F$6:$F$35,31-5))&gt;0,INDEX('İzin Planı'!$F$6:$F$35,31-5)&lt;=('Özet'!$C$6+7*35)+6,INDEX('İzin Planı'!$G$6:$G$35,31-5)&gt;=('Özet'!$C$6+7*35)),AND(N(INDEX('İzin Planı'!$I$6:$I$35,31-5))&gt;0,INDEX('İzin Planı'!$I$6:$I$35,31-5)&lt;=('Özet'!$C$6+7*35)+6,INDEX('İzin Planı'!$J$6:$J$35,31-5)&gt;=('Özet'!$C$6+7*35)),AND(N(INDEX('İzin Planı'!$L$6:$L$35,31-5))&gt;0,INDEX('İzin Planı'!$L$6:$L$35,31-5)&lt;=('Özet'!$C$6+7*35)+6,INDEX('İzin Planı'!$M$6:$M$35,31-5)&gt;=('Özet'!$C$6+7*35))),"İ",""))</f>
      </c>
      <c r="AM31" s="13">
        <f>IF(INDEX('İzin Planı'!$C$6:$C$35,31-5)="","",IF(OR(AND(N(INDEX('İzin Planı'!$F$6:$F$35,31-5))&gt;0,INDEX('İzin Planı'!$F$6:$F$35,31-5)&lt;=('Özet'!$C$6+7*36)+6,INDEX('İzin Planı'!$G$6:$G$35,31-5)&gt;=('Özet'!$C$6+7*36)),AND(N(INDEX('İzin Planı'!$I$6:$I$35,31-5))&gt;0,INDEX('İzin Planı'!$I$6:$I$35,31-5)&lt;=('Özet'!$C$6+7*36)+6,INDEX('İzin Planı'!$J$6:$J$35,31-5)&gt;=('Özet'!$C$6+7*36)),AND(N(INDEX('İzin Planı'!$L$6:$L$35,31-5))&gt;0,INDEX('İzin Planı'!$L$6:$L$35,31-5)&lt;=('Özet'!$C$6+7*36)+6,INDEX('İzin Planı'!$M$6:$M$35,31-5)&gt;=('Özet'!$C$6+7*36))),"İ",""))</f>
      </c>
      <c r="AN31" s="13">
        <f>IF(INDEX('İzin Planı'!$C$6:$C$35,31-5)="","",IF(OR(AND(N(INDEX('İzin Planı'!$F$6:$F$35,31-5))&gt;0,INDEX('İzin Planı'!$F$6:$F$35,31-5)&lt;=('Özet'!$C$6+7*37)+6,INDEX('İzin Planı'!$G$6:$G$35,31-5)&gt;=('Özet'!$C$6+7*37)),AND(N(INDEX('İzin Planı'!$I$6:$I$35,31-5))&gt;0,INDEX('İzin Planı'!$I$6:$I$35,31-5)&lt;=('Özet'!$C$6+7*37)+6,INDEX('İzin Planı'!$J$6:$J$35,31-5)&gt;=('Özet'!$C$6+7*37)),AND(N(INDEX('İzin Planı'!$L$6:$L$35,31-5))&gt;0,INDEX('İzin Planı'!$L$6:$L$35,31-5)&lt;=('Özet'!$C$6+7*37)+6,INDEX('İzin Planı'!$M$6:$M$35,31-5)&gt;=('Özet'!$C$6+7*37))),"İ",""))</f>
      </c>
      <c r="AO31" s="13">
        <f>IF(INDEX('İzin Planı'!$C$6:$C$35,31-5)="","",IF(OR(AND(N(INDEX('İzin Planı'!$F$6:$F$35,31-5))&gt;0,INDEX('İzin Planı'!$F$6:$F$35,31-5)&lt;=('Özet'!$C$6+7*38)+6,INDEX('İzin Planı'!$G$6:$G$35,31-5)&gt;=('Özet'!$C$6+7*38)),AND(N(INDEX('İzin Planı'!$I$6:$I$35,31-5))&gt;0,INDEX('İzin Planı'!$I$6:$I$35,31-5)&lt;=('Özet'!$C$6+7*38)+6,INDEX('İzin Planı'!$J$6:$J$35,31-5)&gt;=('Özet'!$C$6+7*38)),AND(N(INDEX('İzin Planı'!$L$6:$L$35,31-5))&gt;0,INDEX('İzin Planı'!$L$6:$L$35,31-5)&lt;=('Özet'!$C$6+7*38)+6,INDEX('İzin Planı'!$M$6:$M$35,31-5)&gt;=('Özet'!$C$6+7*38))),"İ",""))</f>
      </c>
      <c r="AP31" s="13">
        <f>IF(INDEX('İzin Planı'!$C$6:$C$35,31-5)="","",IF(OR(AND(N(INDEX('İzin Planı'!$F$6:$F$35,31-5))&gt;0,INDEX('İzin Planı'!$F$6:$F$35,31-5)&lt;=('Özet'!$C$6+7*39)+6,INDEX('İzin Planı'!$G$6:$G$35,31-5)&gt;=('Özet'!$C$6+7*39)),AND(N(INDEX('İzin Planı'!$I$6:$I$35,31-5))&gt;0,INDEX('İzin Planı'!$I$6:$I$35,31-5)&lt;=('Özet'!$C$6+7*39)+6,INDEX('İzin Planı'!$J$6:$J$35,31-5)&gt;=('Özet'!$C$6+7*39)),AND(N(INDEX('İzin Planı'!$L$6:$L$35,31-5))&gt;0,INDEX('İzin Planı'!$L$6:$L$35,31-5)&lt;=('Özet'!$C$6+7*39)+6,INDEX('İzin Planı'!$M$6:$M$35,31-5)&gt;=('Özet'!$C$6+7*39))),"İ",""))</f>
      </c>
      <c r="AQ31" s="13">
        <f>IF(INDEX('İzin Planı'!$C$6:$C$35,31-5)="","",IF(OR(AND(N(INDEX('İzin Planı'!$F$6:$F$35,31-5))&gt;0,INDEX('İzin Planı'!$F$6:$F$35,31-5)&lt;=('Özet'!$C$6+7*40)+6,INDEX('İzin Planı'!$G$6:$G$35,31-5)&gt;=('Özet'!$C$6+7*40)),AND(N(INDEX('İzin Planı'!$I$6:$I$35,31-5))&gt;0,INDEX('İzin Planı'!$I$6:$I$35,31-5)&lt;=('Özet'!$C$6+7*40)+6,INDEX('İzin Planı'!$J$6:$J$35,31-5)&gt;=('Özet'!$C$6+7*40)),AND(N(INDEX('İzin Planı'!$L$6:$L$35,31-5))&gt;0,INDEX('İzin Planı'!$L$6:$L$35,31-5)&lt;=('Özet'!$C$6+7*40)+6,INDEX('İzin Planı'!$M$6:$M$35,31-5)&gt;=('Özet'!$C$6+7*40))),"İ",""))</f>
      </c>
      <c r="AR31" s="13">
        <f>IF(INDEX('İzin Planı'!$C$6:$C$35,31-5)="","",IF(OR(AND(N(INDEX('İzin Planı'!$F$6:$F$35,31-5))&gt;0,INDEX('İzin Planı'!$F$6:$F$35,31-5)&lt;=('Özet'!$C$6+7*41)+6,INDEX('İzin Planı'!$G$6:$G$35,31-5)&gt;=('Özet'!$C$6+7*41)),AND(N(INDEX('İzin Planı'!$I$6:$I$35,31-5))&gt;0,INDEX('İzin Planı'!$I$6:$I$35,31-5)&lt;=('Özet'!$C$6+7*41)+6,INDEX('İzin Planı'!$J$6:$J$35,31-5)&gt;=('Özet'!$C$6+7*41)),AND(N(INDEX('İzin Planı'!$L$6:$L$35,31-5))&gt;0,INDEX('İzin Planı'!$L$6:$L$35,31-5)&lt;=('Özet'!$C$6+7*41)+6,INDEX('İzin Planı'!$M$6:$M$35,31-5)&gt;=('Özet'!$C$6+7*41))),"İ",""))</f>
      </c>
      <c r="AS31" s="13">
        <f>IF(INDEX('İzin Planı'!$C$6:$C$35,31-5)="","",IF(OR(AND(N(INDEX('İzin Planı'!$F$6:$F$35,31-5))&gt;0,INDEX('İzin Planı'!$F$6:$F$35,31-5)&lt;=('Özet'!$C$6+7*42)+6,INDEX('İzin Planı'!$G$6:$G$35,31-5)&gt;=('Özet'!$C$6+7*42)),AND(N(INDEX('İzin Planı'!$I$6:$I$35,31-5))&gt;0,INDEX('İzin Planı'!$I$6:$I$35,31-5)&lt;=('Özet'!$C$6+7*42)+6,INDEX('İzin Planı'!$J$6:$J$35,31-5)&gt;=('Özet'!$C$6+7*42)),AND(N(INDEX('İzin Planı'!$L$6:$L$35,31-5))&gt;0,INDEX('İzin Planı'!$L$6:$L$35,31-5)&lt;=('Özet'!$C$6+7*42)+6,INDEX('İzin Planı'!$M$6:$M$35,31-5)&gt;=('Özet'!$C$6+7*42))),"İ",""))</f>
      </c>
      <c r="AT31" s="13">
        <f>IF(INDEX('İzin Planı'!$C$6:$C$35,31-5)="","",IF(OR(AND(N(INDEX('İzin Planı'!$F$6:$F$35,31-5))&gt;0,INDEX('İzin Planı'!$F$6:$F$35,31-5)&lt;=('Özet'!$C$6+7*43)+6,INDEX('İzin Planı'!$G$6:$G$35,31-5)&gt;=('Özet'!$C$6+7*43)),AND(N(INDEX('İzin Planı'!$I$6:$I$35,31-5))&gt;0,INDEX('İzin Planı'!$I$6:$I$35,31-5)&lt;=('Özet'!$C$6+7*43)+6,INDEX('İzin Planı'!$J$6:$J$35,31-5)&gt;=('Özet'!$C$6+7*43)),AND(N(INDEX('İzin Planı'!$L$6:$L$35,31-5))&gt;0,INDEX('İzin Planı'!$L$6:$L$35,31-5)&lt;=('Özet'!$C$6+7*43)+6,INDEX('İzin Planı'!$M$6:$M$35,31-5)&gt;=('Özet'!$C$6+7*43))),"İ",""))</f>
      </c>
      <c r="AU31" s="13">
        <f>IF(INDEX('İzin Planı'!$C$6:$C$35,31-5)="","",IF(OR(AND(N(INDEX('İzin Planı'!$F$6:$F$35,31-5))&gt;0,INDEX('İzin Planı'!$F$6:$F$35,31-5)&lt;=('Özet'!$C$6+7*44)+6,INDEX('İzin Planı'!$G$6:$G$35,31-5)&gt;=('Özet'!$C$6+7*44)),AND(N(INDEX('İzin Planı'!$I$6:$I$35,31-5))&gt;0,INDEX('İzin Planı'!$I$6:$I$35,31-5)&lt;=('Özet'!$C$6+7*44)+6,INDEX('İzin Planı'!$J$6:$J$35,31-5)&gt;=('Özet'!$C$6+7*44)),AND(N(INDEX('İzin Planı'!$L$6:$L$35,31-5))&gt;0,INDEX('İzin Planı'!$L$6:$L$35,31-5)&lt;=('Özet'!$C$6+7*44)+6,INDEX('İzin Planı'!$M$6:$M$35,31-5)&gt;=('Özet'!$C$6+7*44))),"İ",""))</f>
      </c>
      <c r="AV31" s="13">
        <f>IF(INDEX('İzin Planı'!$C$6:$C$35,31-5)="","",IF(OR(AND(N(INDEX('İzin Planı'!$F$6:$F$35,31-5))&gt;0,INDEX('İzin Planı'!$F$6:$F$35,31-5)&lt;=('Özet'!$C$6+7*45)+6,INDEX('İzin Planı'!$G$6:$G$35,31-5)&gt;=('Özet'!$C$6+7*45)),AND(N(INDEX('İzin Planı'!$I$6:$I$35,31-5))&gt;0,INDEX('İzin Planı'!$I$6:$I$35,31-5)&lt;=('Özet'!$C$6+7*45)+6,INDEX('İzin Planı'!$J$6:$J$35,31-5)&gt;=('Özet'!$C$6+7*45)),AND(N(INDEX('İzin Planı'!$L$6:$L$35,31-5))&gt;0,INDEX('İzin Planı'!$L$6:$L$35,31-5)&lt;=('Özet'!$C$6+7*45)+6,INDEX('İzin Planı'!$M$6:$M$35,31-5)&gt;=('Özet'!$C$6+7*45))),"İ",""))</f>
      </c>
      <c r="AW31" s="13">
        <f>IF(INDEX('İzin Planı'!$C$6:$C$35,31-5)="","",IF(OR(AND(N(INDEX('İzin Planı'!$F$6:$F$35,31-5))&gt;0,INDEX('İzin Planı'!$F$6:$F$35,31-5)&lt;=('Özet'!$C$6+7*46)+6,INDEX('İzin Planı'!$G$6:$G$35,31-5)&gt;=('Özet'!$C$6+7*46)),AND(N(INDEX('İzin Planı'!$I$6:$I$35,31-5))&gt;0,INDEX('İzin Planı'!$I$6:$I$35,31-5)&lt;=('Özet'!$C$6+7*46)+6,INDEX('İzin Planı'!$J$6:$J$35,31-5)&gt;=('Özet'!$C$6+7*46)),AND(N(INDEX('İzin Planı'!$L$6:$L$35,31-5))&gt;0,INDEX('İzin Planı'!$L$6:$L$35,31-5)&lt;=('Özet'!$C$6+7*46)+6,INDEX('İzin Planı'!$M$6:$M$35,31-5)&gt;=('Özet'!$C$6+7*46))),"İ",""))</f>
      </c>
      <c r="AX31" s="13">
        <f>IF(INDEX('İzin Planı'!$C$6:$C$35,31-5)="","",IF(OR(AND(N(INDEX('İzin Planı'!$F$6:$F$35,31-5))&gt;0,INDEX('İzin Planı'!$F$6:$F$35,31-5)&lt;=('Özet'!$C$6+7*47)+6,INDEX('İzin Planı'!$G$6:$G$35,31-5)&gt;=('Özet'!$C$6+7*47)),AND(N(INDEX('İzin Planı'!$I$6:$I$35,31-5))&gt;0,INDEX('İzin Planı'!$I$6:$I$35,31-5)&lt;=('Özet'!$C$6+7*47)+6,INDEX('İzin Planı'!$J$6:$J$35,31-5)&gt;=('Özet'!$C$6+7*47)),AND(N(INDEX('İzin Planı'!$L$6:$L$35,31-5))&gt;0,INDEX('İzin Planı'!$L$6:$L$35,31-5)&lt;=('Özet'!$C$6+7*47)+6,INDEX('İzin Planı'!$M$6:$M$35,31-5)&gt;=('Özet'!$C$6+7*47))),"İ",""))</f>
      </c>
      <c r="AY31" s="13">
        <f>IF(INDEX('İzin Planı'!$C$6:$C$35,31-5)="","",IF(OR(AND(N(INDEX('İzin Planı'!$F$6:$F$35,31-5))&gt;0,INDEX('İzin Planı'!$F$6:$F$35,31-5)&lt;=('Özet'!$C$6+7*48)+6,INDEX('İzin Planı'!$G$6:$G$35,31-5)&gt;=('Özet'!$C$6+7*48)),AND(N(INDEX('İzin Planı'!$I$6:$I$35,31-5))&gt;0,INDEX('İzin Planı'!$I$6:$I$35,31-5)&lt;=('Özet'!$C$6+7*48)+6,INDEX('İzin Planı'!$J$6:$J$35,31-5)&gt;=('Özet'!$C$6+7*48)),AND(N(INDEX('İzin Planı'!$L$6:$L$35,31-5))&gt;0,INDEX('İzin Planı'!$L$6:$L$35,31-5)&lt;=('Özet'!$C$6+7*48)+6,INDEX('İzin Planı'!$M$6:$M$35,31-5)&gt;=('Özet'!$C$6+7*48))),"İ",""))</f>
      </c>
      <c r="AZ31" s="13">
        <f>IF(INDEX('İzin Planı'!$C$6:$C$35,31-5)="","",IF(OR(AND(N(INDEX('İzin Planı'!$F$6:$F$35,31-5))&gt;0,INDEX('İzin Planı'!$F$6:$F$35,31-5)&lt;=('Özet'!$C$6+7*49)+6,INDEX('İzin Planı'!$G$6:$G$35,31-5)&gt;=('Özet'!$C$6+7*49)),AND(N(INDEX('İzin Planı'!$I$6:$I$35,31-5))&gt;0,INDEX('İzin Planı'!$I$6:$I$35,31-5)&lt;=('Özet'!$C$6+7*49)+6,INDEX('İzin Planı'!$J$6:$J$35,31-5)&gt;=('Özet'!$C$6+7*49)),AND(N(INDEX('İzin Planı'!$L$6:$L$35,31-5))&gt;0,INDEX('İzin Planı'!$L$6:$L$35,31-5)&lt;=('Özet'!$C$6+7*49)+6,INDEX('İzin Planı'!$M$6:$M$35,31-5)&gt;=('Özet'!$C$6+7*49))),"İ",""))</f>
      </c>
      <c r="BA31" s="13">
        <f>IF(INDEX('İzin Planı'!$C$6:$C$35,31-5)="","",IF(OR(AND(N(INDEX('İzin Planı'!$F$6:$F$35,31-5))&gt;0,INDEX('İzin Planı'!$F$6:$F$35,31-5)&lt;=('Özet'!$C$6+7*50)+6,INDEX('İzin Planı'!$G$6:$G$35,31-5)&gt;=('Özet'!$C$6+7*50)),AND(N(INDEX('İzin Planı'!$I$6:$I$35,31-5))&gt;0,INDEX('İzin Planı'!$I$6:$I$35,31-5)&lt;=('Özet'!$C$6+7*50)+6,INDEX('İzin Planı'!$J$6:$J$35,31-5)&gt;=('Özet'!$C$6+7*50)),AND(N(INDEX('İzin Planı'!$L$6:$L$35,31-5))&gt;0,INDEX('İzin Planı'!$L$6:$L$35,31-5)&lt;=('Özet'!$C$6+7*50)+6,INDEX('İzin Planı'!$M$6:$M$35,31-5)&gt;=('Özet'!$C$6+7*50))),"İ",""))</f>
      </c>
      <c r="BB31" s="13">
        <f>IF(INDEX('İzin Planı'!$C$6:$C$35,31-5)="","",IF(OR(AND(N(INDEX('İzin Planı'!$F$6:$F$35,31-5))&gt;0,INDEX('İzin Planı'!$F$6:$F$35,31-5)&lt;=('Özet'!$C$6+7*51)+6,INDEX('İzin Planı'!$G$6:$G$35,31-5)&gt;=('Özet'!$C$6+7*51)),AND(N(INDEX('İzin Planı'!$I$6:$I$35,31-5))&gt;0,INDEX('İzin Planı'!$I$6:$I$35,31-5)&lt;=('Özet'!$C$6+7*51)+6,INDEX('İzin Planı'!$J$6:$J$35,31-5)&gt;=('Özet'!$C$6+7*51)),AND(N(INDEX('İzin Planı'!$L$6:$L$35,31-5))&gt;0,INDEX('İzin Planı'!$L$6:$L$35,31-5)&lt;=('Özet'!$C$6+7*51)+6,INDEX('İzin Planı'!$M$6:$M$35,31-5)&gt;=('Özet'!$C$6+7*51))),"İ",""))</f>
      </c>
      <c r="BC31" s="13">
        <f>IF(INDEX('İzin Planı'!$C$6:$C$35,31-5)="","",IF(OR(AND(N(INDEX('İzin Planı'!$F$6:$F$35,31-5))&gt;0,INDEX('İzin Planı'!$F$6:$F$35,31-5)&lt;=('Özet'!$C$6+7*52)+6,INDEX('İzin Planı'!$G$6:$G$35,31-5)&gt;=('Özet'!$C$6+7*52)),AND(N(INDEX('İzin Planı'!$I$6:$I$35,31-5))&gt;0,INDEX('İzin Planı'!$I$6:$I$35,31-5)&lt;=('Özet'!$C$6+7*52)+6,INDEX('İzin Planı'!$J$6:$J$35,31-5)&gt;=('Özet'!$C$6+7*52)),AND(N(INDEX('İzin Planı'!$L$6:$L$35,31-5))&gt;0,INDEX('İzin Planı'!$L$6:$L$35,31-5)&lt;=('Özet'!$C$6+7*52)+6,INDEX('İzin Planı'!$M$6:$M$35,31-5)&gt;=('Özet'!$C$6+7*52))),"İ",""))</f>
      </c>
    </row>
    <row r="32" ht="18" customHeight="1" spans="1:55" x14ac:dyDescent="0.25">
      <c r="A32" s="6">
        <v>27</v>
      </c>
      <c r="B32" s="13">
        <f>IF(INDEX('İzin Planı'!$C$6:$C$35,32-5)="","",INDEX('İzin Planı'!$C$6:$C$35,32-5))</f>
      </c>
      <c r="C32" s="13">
        <f>IF(INDEX('İzin Planı'!$C$6:$C$35,32-5)="","",IF(OR(AND(N(INDEX('İzin Planı'!$F$6:$F$35,32-5))&gt;0,INDEX('İzin Planı'!$F$6:$F$35,32-5)&lt;=('Özet'!$C$6+7*0)+6,INDEX('İzin Planı'!$G$6:$G$35,32-5)&gt;=('Özet'!$C$6+7*0)),AND(N(INDEX('İzin Planı'!$I$6:$I$35,32-5))&gt;0,INDEX('İzin Planı'!$I$6:$I$35,32-5)&lt;=('Özet'!$C$6+7*0)+6,INDEX('İzin Planı'!$J$6:$J$35,32-5)&gt;=('Özet'!$C$6+7*0)),AND(N(INDEX('İzin Planı'!$L$6:$L$35,32-5))&gt;0,INDEX('İzin Planı'!$L$6:$L$35,32-5)&lt;=('Özet'!$C$6+7*0)+6,INDEX('İzin Planı'!$M$6:$M$35,32-5)&gt;=('Özet'!$C$6+7*0))),"İ",""))</f>
      </c>
      <c r="D32" s="13">
        <f>IF(INDEX('İzin Planı'!$C$6:$C$35,32-5)="","",IF(OR(AND(N(INDEX('İzin Planı'!$F$6:$F$35,32-5))&gt;0,INDEX('İzin Planı'!$F$6:$F$35,32-5)&lt;=('Özet'!$C$6+7*1)+6,INDEX('İzin Planı'!$G$6:$G$35,32-5)&gt;=('Özet'!$C$6+7*1)),AND(N(INDEX('İzin Planı'!$I$6:$I$35,32-5))&gt;0,INDEX('İzin Planı'!$I$6:$I$35,32-5)&lt;=('Özet'!$C$6+7*1)+6,INDEX('İzin Planı'!$J$6:$J$35,32-5)&gt;=('Özet'!$C$6+7*1)),AND(N(INDEX('İzin Planı'!$L$6:$L$35,32-5))&gt;0,INDEX('İzin Planı'!$L$6:$L$35,32-5)&lt;=('Özet'!$C$6+7*1)+6,INDEX('İzin Planı'!$M$6:$M$35,32-5)&gt;=('Özet'!$C$6+7*1))),"İ",""))</f>
      </c>
      <c r="E32" s="13">
        <f>IF(INDEX('İzin Planı'!$C$6:$C$35,32-5)="","",IF(OR(AND(N(INDEX('İzin Planı'!$F$6:$F$35,32-5))&gt;0,INDEX('İzin Planı'!$F$6:$F$35,32-5)&lt;=('Özet'!$C$6+7*2)+6,INDEX('İzin Planı'!$G$6:$G$35,32-5)&gt;=('Özet'!$C$6+7*2)),AND(N(INDEX('İzin Planı'!$I$6:$I$35,32-5))&gt;0,INDEX('İzin Planı'!$I$6:$I$35,32-5)&lt;=('Özet'!$C$6+7*2)+6,INDEX('İzin Planı'!$J$6:$J$35,32-5)&gt;=('Özet'!$C$6+7*2)),AND(N(INDEX('İzin Planı'!$L$6:$L$35,32-5))&gt;0,INDEX('İzin Planı'!$L$6:$L$35,32-5)&lt;=('Özet'!$C$6+7*2)+6,INDEX('İzin Planı'!$M$6:$M$35,32-5)&gt;=('Özet'!$C$6+7*2))),"İ",""))</f>
      </c>
      <c r="F32" s="13">
        <f>IF(INDEX('İzin Planı'!$C$6:$C$35,32-5)="","",IF(OR(AND(N(INDEX('İzin Planı'!$F$6:$F$35,32-5))&gt;0,INDEX('İzin Planı'!$F$6:$F$35,32-5)&lt;=('Özet'!$C$6+7*3)+6,INDEX('İzin Planı'!$G$6:$G$35,32-5)&gt;=('Özet'!$C$6+7*3)),AND(N(INDEX('İzin Planı'!$I$6:$I$35,32-5))&gt;0,INDEX('İzin Planı'!$I$6:$I$35,32-5)&lt;=('Özet'!$C$6+7*3)+6,INDEX('İzin Planı'!$J$6:$J$35,32-5)&gt;=('Özet'!$C$6+7*3)),AND(N(INDEX('İzin Planı'!$L$6:$L$35,32-5))&gt;0,INDEX('İzin Planı'!$L$6:$L$35,32-5)&lt;=('Özet'!$C$6+7*3)+6,INDEX('İzin Planı'!$M$6:$M$35,32-5)&gt;=('Özet'!$C$6+7*3))),"İ",""))</f>
      </c>
      <c r="G32" s="13">
        <f>IF(INDEX('İzin Planı'!$C$6:$C$35,32-5)="","",IF(OR(AND(N(INDEX('İzin Planı'!$F$6:$F$35,32-5))&gt;0,INDEX('İzin Planı'!$F$6:$F$35,32-5)&lt;=('Özet'!$C$6+7*4)+6,INDEX('İzin Planı'!$G$6:$G$35,32-5)&gt;=('Özet'!$C$6+7*4)),AND(N(INDEX('İzin Planı'!$I$6:$I$35,32-5))&gt;0,INDEX('İzin Planı'!$I$6:$I$35,32-5)&lt;=('Özet'!$C$6+7*4)+6,INDEX('İzin Planı'!$J$6:$J$35,32-5)&gt;=('Özet'!$C$6+7*4)),AND(N(INDEX('İzin Planı'!$L$6:$L$35,32-5))&gt;0,INDEX('İzin Planı'!$L$6:$L$35,32-5)&lt;=('Özet'!$C$6+7*4)+6,INDEX('İzin Planı'!$M$6:$M$35,32-5)&gt;=('Özet'!$C$6+7*4))),"İ",""))</f>
      </c>
      <c r="H32" s="13">
        <f>IF(INDEX('İzin Planı'!$C$6:$C$35,32-5)="","",IF(OR(AND(N(INDEX('İzin Planı'!$F$6:$F$35,32-5))&gt;0,INDEX('İzin Planı'!$F$6:$F$35,32-5)&lt;=('Özet'!$C$6+7*5)+6,INDEX('İzin Planı'!$G$6:$G$35,32-5)&gt;=('Özet'!$C$6+7*5)),AND(N(INDEX('İzin Planı'!$I$6:$I$35,32-5))&gt;0,INDEX('İzin Planı'!$I$6:$I$35,32-5)&lt;=('Özet'!$C$6+7*5)+6,INDEX('İzin Planı'!$J$6:$J$35,32-5)&gt;=('Özet'!$C$6+7*5)),AND(N(INDEX('İzin Planı'!$L$6:$L$35,32-5))&gt;0,INDEX('İzin Planı'!$L$6:$L$35,32-5)&lt;=('Özet'!$C$6+7*5)+6,INDEX('İzin Planı'!$M$6:$M$35,32-5)&gt;=('Özet'!$C$6+7*5))),"İ",""))</f>
      </c>
      <c r="I32" s="13">
        <f>IF(INDEX('İzin Planı'!$C$6:$C$35,32-5)="","",IF(OR(AND(N(INDEX('İzin Planı'!$F$6:$F$35,32-5))&gt;0,INDEX('İzin Planı'!$F$6:$F$35,32-5)&lt;=('Özet'!$C$6+7*6)+6,INDEX('İzin Planı'!$G$6:$G$35,32-5)&gt;=('Özet'!$C$6+7*6)),AND(N(INDEX('İzin Planı'!$I$6:$I$35,32-5))&gt;0,INDEX('İzin Planı'!$I$6:$I$35,32-5)&lt;=('Özet'!$C$6+7*6)+6,INDEX('İzin Planı'!$J$6:$J$35,32-5)&gt;=('Özet'!$C$6+7*6)),AND(N(INDEX('İzin Planı'!$L$6:$L$35,32-5))&gt;0,INDEX('İzin Planı'!$L$6:$L$35,32-5)&lt;=('Özet'!$C$6+7*6)+6,INDEX('İzin Planı'!$M$6:$M$35,32-5)&gt;=('Özet'!$C$6+7*6))),"İ",""))</f>
      </c>
      <c r="J32" s="13">
        <f>IF(INDEX('İzin Planı'!$C$6:$C$35,32-5)="","",IF(OR(AND(N(INDEX('İzin Planı'!$F$6:$F$35,32-5))&gt;0,INDEX('İzin Planı'!$F$6:$F$35,32-5)&lt;=('Özet'!$C$6+7*7)+6,INDEX('İzin Planı'!$G$6:$G$35,32-5)&gt;=('Özet'!$C$6+7*7)),AND(N(INDEX('İzin Planı'!$I$6:$I$35,32-5))&gt;0,INDEX('İzin Planı'!$I$6:$I$35,32-5)&lt;=('Özet'!$C$6+7*7)+6,INDEX('İzin Planı'!$J$6:$J$35,32-5)&gt;=('Özet'!$C$6+7*7)),AND(N(INDEX('İzin Planı'!$L$6:$L$35,32-5))&gt;0,INDEX('İzin Planı'!$L$6:$L$35,32-5)&lt;=('Özet'!$C$6+7*7)+6,INDEX('İzin Planı'!$M$6:$M$35,32-5)&gt;=('Özet'!$C$6+7*7))),"İ",""))</f>
      </c>
      <c r="K32" s="13">
        <f>IF(INDEX('İzin Planı'!$C$6:$C$35,32-5)="","",IF(OR(AND(N(INDEX('İzin Planı'!$F$6:$F$35,32-5))&gt;0,INDEX('İzin Planı'!$F$6:$F$35,32-5)&lt;=('Özet'!$C$6+7*8)+6,INDEX('İzin Planı'!$G$6:$G$35,32-5)&gt;=('Özet'!$C$6+7*8)),AND(N(INDEX('İzin Planı'!$I$6:$I$35,32-5))&gt;0,INDEX('İzin Planı'!$I$6:$I$35,32-5)&lt;=('Özet'!$C$6+7*8)+6,INDEX('İzin Planı'!$J$6:$J$35,32-5)&gt;=('Özet'!$C$6+7*8)),AND(N(INDEX('İzin Planı'!$L$6:$L$35,32-5))&gt;0,INDEX('İzin Planı'!$L$6:$L$35,32-5)&lt;=('Özet'!$C$6+7*8)+6,INDEX('İzin Planı'!$M$6:$M$35,32-5)&gt;=('Özet'!$C$6+7*8))),"İ",""))</f>
      </c>
      <c r="L32" s="13">
        <f>IF(INDEX('İzin Planı'!$C$6:$C$35,32-5)="","",IF(OR(AND(N(INDEX('İzin Planı'!$F$6:$F$35,32-5))&gt;0,INDEX('İzin Planı'!$F$6:$F$35,32-5)&lt;=('Özet'!$C$6+7*9)+6,INDEX('İzin Planı'!$G$6:$G$35,32-5)&gt;=('Özet'!$C$6+7*9)),AND(N(INDEX('İzin Planı'!$I$6:$I$35,32-5))&gt;0,INDEX('İzin Planı'!$I$6:$I$35,32-5)&lt;=('Özet'!$C$6+7*9)+6,INDEX('İzin Planı'!$J$6:$J$35,32-5)&gt;=('Özet'!$C$6+7*9)),AND(N(INDEX('İzin Planı'!$L$6:$L$35,32-5))&gt;0,INDEX('İzin Planı'!$L$6:$L$35,32-5)&lt;=('Özet'!$C$6+7*9)+6,INDEX('İzin Planı'!$M$6:$M$35,32-5)&gt;=('Özet'!$C$6+7*9))),"İ",""))</f>
      </c>
      <c r="M32" s="13">
        <f>IF(INDEX('İzin Planı'!$C$6:$C$35,32-5)="","",IF(OR(AND(N(INDEX('İzin Planı'!$F$6:$F$35,32-5))&gt;0,INDEX('İzin Planı'!$F$6:$F$35,32-5)&lt;=('Özet'!$C$6+7*10)+6,INDEX('İzin Planı'!$G$6:$G$35,32-5)&gt;=('Özet'!$C$6+7*10)),AND(N(INDEX('İzin Planı'!$I$6:$I$35,32-5))&gt;0,INDEX('İzin Planı'!$I$6:$I$35,32-5)&lt;=('Özet'!$C$6+7*10)+6,INDEX('İzin Planı'!$J$6:$J$35,32-5)&gt;=('Özet'!$C$6+7*10)),AND(N(INDEX('İzin Planı'!$L$6:$L$35,32-5))&gt;0,INDEX('İzin Planı'!$L$6:$L$35,32-5)&lt;=('Özet'!$C$6+7*10)+6,INDEX('İzin Planı'!$M$6:$M$35,32-5)&gt;=('Özet'!$C$6+7*10))),"İ",""))</f>
      </c>
      <c r="N32" s="13">
        <f>IF(INDEX('İzin Planı'!$C$6:$C$35,32-5)="","",IF(OR(AND(N(INDEX('İzin Planı'!$F$6:$F$35,32-5))&gt;0,INDEX('İzin Planı'!$F$6:$F$35,32-5)&lt;=('Özet'!$C$6+7*11)+6,INDEX('İzin Planı'!$G$6:$G$35,32-5)&gt;=('Özet'!$C$6+7*11)),AND(N(INDEX('İzin Planı'!$I$6:$I$35,32-5))&gt;0,INDEX('İzin Planı'!$I$6:$I$35,32-5)&lt;=('Özet'!$C$6+7*11)+6,INDEX('İzin Planı'!$J$6:$J$35,32-5)&gt;=('Özet'!$C$6+7*11)),AND(N(INDEX('İzin Planı'!$L$6:$L$35,32-5))&gt;0,INDEX('İzin Planı'!$L$6:$L$35,32-5)&lt;=('Özet'!$C$6+7*11)+6,INDEX('İzin Planı'!$M$6:$M$35,32-5)&gt;=('Özet'!$C$6+7*11))),"İ",""))</f>
      </c>
      <c r="O32" s="13">
        <f>IF(INDEX('İzin Planı'!$C$6:$C$35,32-5)="","",IF(OR(AND(N(INDEX('İzin Planı'!$F$6:$F$35,32-5))&gt;0,INDEX('İzin Planı'!$F$6:$F$35,32-5)&lt;=('Özet'!$C$6+7*12)+6,INDEX('İzin Planı'!$G$6:$G$35,32-5)&gt;=('Özet'!$C$6+7*12)),AND(N(INDEX('İzin Planı'!$I$6:$I$35,32-5))&gt;0,INDEX('İzin Planı'!$I$6:$I$35,32-5)&lt;=('Özet'!$C$6+7*12)+6,INDEX('İzin Planı'!$J$6:$J$35,32-5)&gt;=('Özet'!$C$6+7*12)),AND(N(INDEX('İzin Planı'!$L$6:$L$35,32-5))&gt;0,INDEX('İzin Planı'!$L$6:$L$35,32-5)&lt;=('Özet'!$C$6+7*12)+6,INDEX('İzin Planı'!$M$6:$M$35,32-5)&gt;=('Özet'!$C$6+7*12))),"İ",""))</f>
      </c>
      <c r="P32" s="13">
        <f>IF(INDEX('İzin Planı'!$C$6:$C$35,32-5)="","",IF(OR(AND(N(INDEX('İzin Planı'!$F$6:$F$35,32-5))&gt;0,INDEX('İzin Planı'!$F$6:$F$35,32-5)&lt;=('Özet'!$C$6+7*13)+6,INDEX('İzin Planı'!$G$6:$G$35,32-5)&gt;=('Özet'!$C$6+7*13)),AND(N(INDEX('İzin Planı'!$I$6:$I$35,32-5))&gt;0,INDEX('İzin Planı'!$I$6:$I$35,32-5)&lt;=('Özet'!$C$6+7*13)+6,INDEX('İzin Planı'!$J$6:$J$35,32-5)&gt;=('Özet'!$C$6+7*13)),AND(N(INDEX('İzin Planı'!$L$6:$L$35,32-5))&gt;0,INDEX('İzin Planı'!$L$6:$L$35,32-5)&lt;=('Özet'!$C$6+7*13)+6,INDEX('İzin Planı'!$M$6:$M$35,32-5)&gt;=('Özet'!$C$6+7*13))),"İ",""))</f>
      </c>
      <c r="Q32" s="13">
        <f>IF(INDEX('İzin Planı'!$C$6:$C$35,32-5)="","",IF(OR(AND(N(INDEX('İzin Planı'!$F$6:$F$35,32-5))&gt;0,INDEX('İzin Planı'!$F$6:$F$35,32-5)&lt;=('Özet'!$C$6+7*14)+6,INDEX('İzin Planı'!$G$6:$G$35,32-5)&gt;=('Özet'!$C$6+7*14)),AND(N(INDEX('İzin Planı'!$I$6:$I$35,32-5))&gt;0,INDEX('İzin Planı'!$I$6:$I$35,32-5)&lt;=('Özet'!$C$6+7*14)+6,INDEX('İzin Planı'!$J$6:$J$35,32-5)&gt;=('Özet'!$C$6+7*14)),AND(N(INDEX('İzin Planı'!$L$6:$L$35,32-5))&gt;0,INDEX('İzin Planı'!$L$6:$L$35,32-5)&lt;=('Özet'!$C$6+7*14)+6,INDEX('İzin Planı'!$M$6:$M$35,32-5)&gt;=('Özet'!$C$6+7*14))),"İ",""))</f>
      </c>
      <c r="R32" s="13">
        <f>IF(INDEX('İzin Planı'!$C$6:$C$35,32-5)="","",IF(OR(AND(N(INDEX('İzin Planı'!$F$6:$F$35,32-5))&gt;0,INDEX('İzin Planı'!$F$6:$F$35,32-5)&lt;=('Özet'!$C$6+7*15)+6,INDEX('İzin Planı'!$G$6:$G$35,32-5)&gt;=('Özet'!$C$6+7*15)),AND(N(INDEX('İzin Planı'!$I$6:$I$35,32-5))&gt;0,INDEX('İzin Planı'!$I$6:$I$35,32-5)&lt;=('Özet'!$C$6+7*15)+6,INDEX('İzin Planı'!$J$6:$J$35,32-5)&gt;=('Özet'!$C$6+7*15)),AND(N(INDEX('İzin Planı'!$L$6:$L$35,32-5))&gt;0,INDEX('İzin Planı'!$L$6:$L$35,32-5)&lt;=('Özet'!$C$6+7*15)+6,INDEX('İzin Planı'!$M$6:$M$35,32-5)&gt;=('Özet'!$C$6+7*15))),"İ",""))</f>
      </c>
      <c r="S32" s="13">
        <f>IF(INDEX('İzin Planı'!$C$6:$C$35,32-5)="","",IF(OR(AND(N(INDEX('İzin Planı'!$F$6:$F$35,32-5))&gt;0,INDEX('İzin Planı'!$F$6:$F$35,32-5)&lt;=('Özet'!$C$6+7*16)+6,INDEX('İzin Planı'!$G$6:$G$35,32-5)&gt;=('Özet'!$C$6+7*16)),AND(N(INDEX('İzin Planı'!$I$6:$I$35,32-5))&gt;0,INDEX('İzin Planı'!$I$6:$I$35,32-5)&lt;=('Özet'!$C$6+7*16)+6,INDEX('İzin Planı'!$J$6:$J$35,32-5)&gt;=('Özet'!$C$6+7*16)),AND(N(INDEX('İzin Planı'!$L$6:$L$35,32-5))&gt;0,INDEX('İzin Planı'!$L$6:$L$35,32-5)&lt;=('Özet'!$C$6+7*16)+6,INDEX('İzin Planı'!$M$6:$M$35,32-5)&gt;=('Özet'!$C$6+7*16))),"İ",""))</f>
      </c>
      <c r="T32" s="13">
        <f>IF(INDEX('İzin Planı'!$C$6:$C$35,32-5)="","",IF(OR(AND(N(INDEX('İzin Planı'!$F$6:$F$35,32-5))&gt;0,INDEX('İzin Planı'!$F$6:$F$35,32-5)&lt;=('Özet'!$C$6+7*17)+6,INDEX('İzin Planı'!$G$6:$G$35,32-5)&gt;=('Özet'!$C$6+7*17)),AND(N(INDEX('İzin Planı'!$I$6:$I$35,32-5))&gt;0,INDEX('İzin Planı'!$I$6:$I$35,32-5)&lt;=('Özet'!$C$6+7*17)+6,INDEX('İzin Planı'!$J$6:$J$35,32-5)&gt;=('Özet'!$C$6+7*17)),AND(N(INDEX('İzin Planı'!$L$6:$L$35,32-5))&gt;0,INDEX('İzin Planı'!$L$6:$L$35,32-5)&lt;=('Özet'!$C$6+7*17)+6,INDEX('İzin Planı'!$M$6:$M$35,32-5)&gt;=('Özet'!$C$6+7*17))),"İ",""))</f>
      </c>
      <c r="U32" s="13">
        <f>IF(INDEX('İzin Planı'!$C$6:$C$35,32-5)="","",IF(OR(AND(N(INDEX('İzin Planı'!$F$6:$F$35,32-5))&gt;0,INDEX('İzin Planı'!$F$6:$F$35,32-5)&lt;=('Özet'!$C$6+7*18)+6,INDEX('İzin Planı'!$G$6:$G$35,32-5)&gt;=('Özet'!$C$6+7*18)),AND(N(INDEX('İzin Planı'!$I$6:$I$35,32-5))&gt;0,INDEX('İzin Planı'!$I$6:$I$35,32-5)&lt;=('Özet'!$C$6+7*18)+6,INDEX('İzin Planı'!$J$6:$J$35,32-5)&gt;=('Özet'!$C$6+7*18)),AND(N(INDEX('İzin Planı'!$L$6:$L$35,32-5))&gt;0,INDEX('İzin Planı'!$L$6:$L$35,32-5)&lt;=('Özet'!$C$6+7*18)+6,INDEX('İzin Planı'!$M$6:$M$35,32-5)&gt;=('Özet'!$C$6+7*18))),"İ",""))</f>
      </c>
      <c r="V32" s="13">
        <f>IF(INDEX('İzin Planı'!$C$6:$C$35,32-5)="","",IF(OR(AND(N(INDEX('İzin Planı'!$F$6:$F$35,32-5))&gt;0,INDEX('İzin Planı'!$F$6:$F$35,32-5)&lt;=('Özet'!$C$6+7*19)+6,INDEX('İzin Planı'!$G$6:$G$35,32-5)&gt;=('Özet'!$C$6+7*19)),AND(N(INDEX('İzin Planı'!$I$6:$I$35,32-5))&gt;0,INDEX('İzin Planı'!$I$6:$I$35,32-5)&lt;=('Özet'!$C$6+7*19)+6,INDEX('İzin Planı'!$J$6:$J$35,32-5)&gt;=('Özet'!$C$6+7*19)),AND(N(INDEX('İzin Planı'!$L$6:$L$35,32-5))&gt;0,INDEX('İzin Planı'!$L$6:$L$35,32-5)&lt;=('Özet'!$C$6+7*19)+6,INDEX('İzin Planı'!$M$6:$M$35,32-5)&gt;=('Özet'!$C$6+7*19))),"İ",""))</f>
      </c>
      <c r="W32" s="13">
        <f>IF(INDEX('İzin Planı'!$C$6:$C$35,32-5)="","",IF(OR(AND(N(INDEX('İzin Planı'!$F$6:$F$35,32-5))&gt;0,INDEX('İzin Planı'!$F$6:$F$35,32-5)&lt;=('Özet'!$C$6+7*20)+6,INDEX('İzin Planı'!$G$6:$G$35,32-5)&gt;=('Özet'!$C$6+7*20)),AND(N(INDEX('İzin Planı'!$I$6:$I$35,32-5))&gt;0,INDEX('İzin Planı'!$I$6:$I$35,32-5)&lt;=('Özet'!$C$6+7*20)+6,INDEX('İzin Planı'!$J$6:$J$35,32-5)&gt;=('Özet'!$C$6+7*20)),AND(N(INDEX('İzin Planı'!$L$6:$L$35,32-5))&gt;0,INDEX('İzin Planı'!$L$6:$L$35,32-5)&lt;=('Özet'!$C$6+7*20)+6,INDEX('İzin Planı'!$M$6:$M$35,32-5)&gt;=('Özet'!$C$6+7*20))),"İ",""))</f>
      </c>
      <c r="X32" s="13">
        <f>IF(INDEX('İzin Planı'!$C$6:$C$35,32-5)="","",IF(OR(AND(N(INDEX('İzin Planı'!$F$6:$F$35,32-5))&gt;0,INDEX('İzin Planı'!$F$6:$F$35,32-5)&lt;=('Özet'!$C$6+7*21)+6,INDEX('İzin Planı'!$G$6:$G$35,32-5)&gt;=('Özet'!$C$6+7*21)),AND(N(INDEX('İzin Planı'!$I$6:$I$35,32-5))&gt;0,INDEX('İzin Planı'!$I$6:$I$35,32-5)&lt;=('Özet'!$C$6+7*21)+6,INDEX('İzin Planı'!$J$6:$J$35,32-5)&gt;=('Özet'!$C$6+7*21)),AND(N(INDEX('İzin Planı'!$L$6:$L$35,32-5))&gt;0,INDEX('İzin Planı'!$L$6:$L$35,32-5)&lt;=('Özet'!$C$6+7*21)+6,INDEX('İzin Planı'!$M$6:$M$35,32-5)&gt;=('Özet'!$C$6+7*21))),"İ",""))</f>
      </c>
      <c r="Y32" s="13">
        <f>IF(INDEX('İzin Planı'!$C$6:$C$35,32-5)="","",IF(OR(AND(N(INDEX('İzin Planı'!$F$6:$F$35,32-5))&gt;0,INDEX('İzin Planı'!$F$6:$F$35,32-5)&lt;=('Özet'!$C$6+7*22)+6,INDEX('İzin Planı'!$G$6:$G$35,32-5)&gt;=('Özet'!$C$6+7*22)),AND(N(INDEX('İzin Planı'!$I$6:$I$35,32-5))&gt;0,INDEX('İzin Planı'!$I$6:$I$35,32-5)&lt;=('Özet'!$C$6+7*22)+6,INDEX('İzin Planı'!$J$6:$J$35,32-5)&gt;=('Özet'!$C$6+7*22)),AND(N(INDEX('İzin Planı'!$L$6:$L$35,32-5))&gt;0,INDEX('İzin Planı'!$L$6:$L$35,32-5)&lt;=('Özet'!$C$6+7*22)+6,INDEX('İzin Planı'!$M$6:$M$35,32-5)&gt;=('Özet'!$C$6+7*22))),"İ",""))</f>
      </c>
      <c r="Z32" s="13">
        <f>IF(INDEX('İzin Planı'!$C$6:$C$35,32-5)="","",IF(OR(AND(N(INDEX('İzin Planı'!$F$6:$F$35,32-5))&gt;0,INDEX('İzin Planı'!$F$6:$F$35,32-5)&lt;=('Özet'!$C$6+7*23)+6,INDEX('İzin Planı'!$G$6:$G$35,32-5)&gt;=('Özet'!$C$6+7*23)),AND(N(INDEX('İzin Planı'!$I$6:$I$35,32-5))&gt;0,INDEX('İzin Planı'!$I$6:$I$35,32-5)&lt;=('Özet'!$C$6+7*23)+6,INDEX('İzin Planı'!$J$6:$J$35,32-5)&gt;=('Özet'!$C$6+7*23)),AND(N(INDEX('İzin Planı'!$L$6:$L$35,32-5))&gt;0,INDEX('İzin Planı'!$L$6:$L$35,32-5)&lt;=('Özet'!$C$6+7*23)+6,INDEX('İzin Planı'!$M$6:$M$35,32-5)&gt;=('Özet'!$C$6+7*23))),"İ",""))</f>
      </c>
      <c r="AA32" s="13">
        <f>IF(INDEX('İzin Planı'!$C$6:$C$35,32-5)="","",IF(OR(AND(N(INDEX('İzin Planı'!$F$6:$F$35,32-5))&gt;0,INDEX('İzin Planı'!$F$6:$F$35,32-5)&lt;=('Özet'!$C$6+7*24)+6,INDEX('İzin Planı'!$G$6:$G$35,32-5)&gt;=('Özet'!$C$6+7*24)),AND(N(INDEX('İzin Planı'!$I$6:$I$35,32-5))&gt;0,INDEX('İzin Planı'!$I$6:$I$35,32-5)&lt;=('Özet'!$C$6+7*24)+6,INDEX('İzin Planı'!$J$6:$J$35,32-5)&gt;=('Özet'!$C$6+7*24)),AND(N(INDEX('İzin Planı'!$L$6:$L$35,32-5))&gt;0,INDEX('İzin Planı'!$L$6:$L$35,32-5)&lt;=('Özet'!$C$6+7*24)+6,INDEX('İzin Planı'!$M$6:$M$35,32-5)&gt;=('Özet'!$C$6+7*24))),"İ",""))</f>
      </c>
      <c r="AB32" s="13">
        <f>IF(INDEX('İzin Planı'!$C$6:$C$35,32-5)="","",IF(OR(AND(N(INDEX('İzin Planı'!$F$6:$F$35,32-5))&gt;0,INDEX('İzin Planı'!$F$6:$F$35,32-5)&lt;=('Özet'!$C$6+7*25)+6,INDEX('İzin Planı'!$G$6:$G$35,32-5)&gt;=('Özet'!$C$6+7*25)),AND(N(INDEX('İzin Planı'!$I$6:$I$35,32-5))&gt;0,INDEX('İzin Planı'!$I$6:$I$35,32-5)&lt;=('Özet'!$C$6+7*25)+6,INDEX('İzin Planı'!$J$6:$J$35,32-5)&gt;=('Özet'!$C$6+7*25)),AND(N(INDEX('İzin Planı'!$L$6:$L$35,32-5))&gt;0,INDEX('İzin Planı'!$L$6:$L$35,32-5)&lt;=('Özet'!$C$6+7*25)+6,INDEX('İzin Planı'!$M$6:$M$35,32-5)&gt;=('Özet'!$C$6+7*25))),"İ",""))</f>
      </c>
      <c r="AC32" s="13">
        <f>IF(INDEX('İzin Planı'!$C$6:$C$35,32-5)="","",IF(OR(AND(N(INDEX('İzin Planı'!$F$6:$F$35,32-5))&gt;0,INDEX('İzin Planı'!$F$6:$F$35,32-5)&lt;=('Özet'!$C$6+7*26)+6,INDEX('İzin Planı'!$G$6:$G$35,32-5)&gt;=('Özet'!$C$6+7*26)),AND(N(INDEX('İzin Planı'!$I$6:$I$35,32-5))&gt;0,INDEX('İzin Planı'!$I$6:$I$35,32-5)&lt;=('Özet'!$C$6+7*26)+6,INDEX('İzin Planı'!$J$6:$J$35,32-5)&gt;=('Özet'!$C$6+7*26)),AND(N(INDEX('İzin Planı'!$L$6:$L$35,32-5))&gt;0,INDEX('İzin Planı'!$L$6:$L$35,32-5)&lt;=('Özet'!$C$6+7*26)+6,INDEX('İzin Planı'!$M$6:$M$35,32-5)&gt;=('Özet'!$C$6+7*26))),"İ",""))</f>
      </c>
      <c r="AD32" s="13">
        <f>IF(INDEX('İzin Planı'!$C$6:$C$35,32-5)="","",IF(OR(AND(N(INDEX('İzin Planı'!$F$6:$F$35,32-5))&gt;0,INDEX('İzin Planı'!$F$6:$F$35,32-5)&lt;=('Özet'!$C$6+7*27)+6,INDEX('İzin Planı'!$G$6:$G$35,32-5)&gt;=('Özet'!$C$6+7*27)),AND(N(INDEX('İzin Planı'!$I$6:$I$35,32-5))&gt;0,INDEX('İzin Planı'!$I$6:$I$35,32-5)&lt;=('Özet'!$C$6+7*27)+6,INDEX('İzin Planı'!$J$6:$J$35,32-5)&gt;=('Özet'!$C$6+7*27)),AND(N(INDEX('İzin Planı'!$L$6:$L$35,32-5))&gt;0,INDEX('İzin Planı'!$L$6:$L$35,32-5)&lt;=('Özet'!$C$6+7*27)+6,INDEX('İzin Planı'!$M$6:$M$35,32-5)&gt;=('Özet'!$C$6+7*27))),"İ",""))</f>
      </c>
      <c r="AE32" s="13">
        <f>IF(INDEX('İzin Planı'!$C$6:$C$35,32-5)="","",IF(OR(AND(N(INDEX('İzin Planı'!$F$6:$F$35,32-5))&gt;0,INDEX('İzin Planı'!$F$6:$F$35,32-5)&lt;=('Özet'!$C$6+7*28)+6,INDEX('İzin Planı'!$G$6:$G$35,32-5)&gt;=('Özet'!$C$6+7*28)),AND(N(INDEX('İzin Planı'!$I$6:$I$35,32-5))&gt;0,INDEX('İzin Planı'!$I$6:$I$35,32-5)&lt;=('Özet'!$C$6+7*28)+6,INDEX('İzin Planı'!$J$6:$J$35,32-5)&gt;=('Özet'!$C$6+7*28)),AND(N(INDEX('İzin Planı'!$L$6:$L$35,32-5))&gt;0,INDEX('İzin Planı'!$L$6:$L$35,32-5)&lt;=('Özet'!$C$6+7*28)+6,INDEX('İzin Planı'!$M$6:$M$35,32-5)&gt;=('Özet'!$C$6+7*28))),"İ",""))</f>
      </c>
      <c r="AF32" s="13">
        <f>IF(INDEX('İzin Planı'!$C$6:$C$35,32-5)="","",IF(OR(AND(N(INDEX('İzin Planı'!$F$6:$F$35,32-5))&gt;0,INDEX('İzin Planı'!$F$6:$F$35,32-5)&lt;=('Özet'!$C$6+7*29)+6,INDEX('İzin Planı'!$G$6:$G$35,32-5)&gt;=('Özet'!$C$6+7*29)),AND(N(INDEX('İzin Planı'!$I$6:$I$35,32-5))&gt;0,INDEX('İzin Planı'!$I$6:$I$35,32-5)&lt;=('Özet'!$C$6+7*29)+6,INDEX('İzin Planı'!$J$6:$J$35,32-5)&gt;=('Özet'!$C$6+7*29)),AND(N(INDEX('İzin Planı'!$L$6:$L$35,32-5))&gt;0,INDEX('İzin Planı'!$L$6:$L$35,32-5)&lt;=('Özet'!$C$6+7*29)+6,INDEX('İzin Planı'!$M$6:$M$35,32-5)&gt;=('Özet'!$C$6+7*29))),"İ",""))</f>
      </c>
      <c r="AG32" s="13">
        <f>IF(INDEX('İzin Planı'!$C$6:$C$35,32-5)="","",IF(OR(AND(N(INDEX('İzin Planı'!$F$6:$F$35,32-5))&gt;0,INDEX('İzin Planı'!$F$6:$F$35,32-5)&lt;=('Özet'!$C$6+7*30)+6,INDEX('İzin Planı'!$G$6:$G$35,32-5)&gt;=('Özet'!$C$6+7*30)),AND(N(INDEX('İzin Planı'!$I$6:$I$35,32-5))&gt;0,INDEX('İzin Planı'!$I$6:$I$35,32-5)&lt;=('Özet'!$C$6+7*30)+6,INDEX('İzin Planı'!$J$6:$J$35,32-5)&gt;=('Özet'!$C$6+7*30)),AND(N(INDEX('İzin Planı'!$L$6:$L$35,32-5))&gt;0,INDEX('İzin Planı'!$L$6:$L$35,32-5)&lt;=('Özet'!$C$6+7*30)+6,INDEX('İzin Planı'!$M$6:$M$35,32-5)&gt;=('Özet'!$C$6+7*30))),"İ",""))</f>
      </c>
      <c r="AH32" s="13">
        <f>IF(INDEX('İzin Planı'!$C$6:$C$35,32-5)="","",IF(OR(AND(N(INDEX('İzin Planı'!$F$6:$F$35,32-5))&gt;0,INDEX('İzin Planı'!$F$6:$F$35,32-5)&lt;=('Özet'!$C$6+7*31)+6,INDEX('İzin Planı'!$G$6:$G$35,32-5)&gt;=('Özet'!$C$6+7*31)),AND(N(INDEX('İzin Planı'!$I$6:$I$35,32-5))&gt;0,INDEX('İzin Planı'!$I$6:$I$35,32-5)&lt;=('Özet'!$C$6+7*31)+6,INDEX('İzin Planı'!$J$6:$J$35,32-5)&gt;=('Özet'!$C$6+7*31)),AND(N(INDEX('İzin Planı'!$L$6:$L$35,32-5))&gt;0,INDEX('İzin Planı'!$L$6:$L$35,32-5)&lt;=('Özet'!$C$6+7*31)+6,INDEX('İzin Planı'!$M$6:$M$35,32-5)&gt;=('Özet'!$C$6+7*31))),"İ",""))</f>
      </c>
      <c r="AI32" s="13">
        <f>IF(INDEX('İzin Planı'!$C$6:$C$35,32-5)="","",IF(OR(AND(N(INDEX('İzin Planı'!$F$6:$F$35,32-5))&gt;0,INDEX('İzin Planı'!$F$6:$F$35,32-5)&lt;=('Özet'!$C$6+7*32)+6,INDEX('İzin Planı'!$G$6:$G$35,32-5)&gt;=('Özet'!$C$6+7*32)),AND(N(INDEX('İzin Planı'!$I$6:$I$35,32-5))&gt;0,INDEX('İzin Planı'!$I$6:$I$35,32-5)&lt;=('Özet'!$C$6+7*32)+6,INDEX('İzin Planı'!$J$6:$J$35,32-5)&gt;=('Özet'!$C$6+7*32)),AND(N(INDEX('İzin Planı'!$L$6:$L$35,32-5))&gt;0,INDEX('İzin Planı'!$L$6:$L$35,32-5)&lt;=('Özet'!$C$6+7*32)+6,INDEX('İzin Planı'!$M$6:$M$35,32-5)&gt;=('Özet'!$C$6+7*32))),"İ",""))</f>
      </c>
      <c r="AJ32" s="13">
        <f>IF(INDEX('İzin Planı'!$C$6:$C$35,32-5)="","",IF(OR(AND(N(INDEX('İzin Planı'!$F$6:$F$35,32-5))&gt;0,INDEX('İzin Planı'!$F$6:$F$35,32-5)&lt;=('Özet'!$C$6+7*33)+6,INDEX('İzin Planı'!$G$6:$G$35,32-5)&gt;=('Özet'!$C$6+7*33)),AND(N(INDEX('İzin Planı'!$I$6:$I$35,32-5))&gt;0,INDEX('İzin Planı'!$I$6:$I$35,32-5)&lt;=('Özet'!$C$6+7*33)+6,INDEX('İzin Planı'!$J$6:$J$35,32-5)&gt;=('Özet'!$C$6+7*33)),AND(N(INDEX('İzin Planı'!$L$6:$L$35,32-5))&gt;0,INDEX('İzin Planı'!$L$6:$L$35,32-5)&lt;=('Özet'!$C$6+7*33)+6,INDEX('İzin Planı'!$M$6:$M$35,32-5)&gt;=('Özet'!$C$6+7*33))),"İ",""))</f>
      </c>
      <c r="AK32" s="13">
        <f>IF(INDEX('İzin Planı'!$C$6:$C$35,32-5)="","",IF(OR(AND(N(INDEX('İzin Planı'!$F$6:$F$35,32-5))&gt;0,INDEX('İzin Planı'!$F$6:$F$35,32-5)&lt;=('Özet'!$C$6+7*34)+6,INDEX('İzin Planı'!$G$6:$G$35,32-5)&gt;=('Özet'!$C$6+7*34)),AND(N(INDEX('İzin Planı'!$I$6:$I$35,32-5))&gt;0,INDEX('İzin Planı'!$I$6:$I$35,32-5)&lt;=('Özet'!$C$6+7*34)+6,INDEX('İzin Planı'!$J$6:$J$35,32-5)&gt;=('Özet'!$C$6+7*34)),AND(N(INDEX('İzin Planı'!$L$6:$L$35,32-5))&gt;0,INDEX('İzin Planı'!$L$6:$L$35,32-5)&lt;=('Özet'!$C$6+7*34)+6,INDEX('İzin Planı'!$M$6:$M$35,32-5)&gt;=('Özet'!$C$6+7*34))),"İ",""))</f>
      </c>
      <c r="AL32" s="13">
        <f>IF(INDEX('İzin Planı'!$C$6:$C$35,32-5)="","",IF(OR(AND(N(INDEX('İzin Planı'!$F$6:$F$35,32-5))&gt;0,INDEX('İzin Planı'!$F$6:$F$35,32-5)&lt;=('Özet'!$C$6+7*35)+6,INDEX('İzin Planı'!$G$6:$G$35,32-5)&gt;=('Özet'!$C$6+7*35)),AND(N(INDEX('İzin Planı'!$I$6:$I$35,32-5))&gt;0,INDEX('İzin Planı'!$I$6:$I$35,32-5)&lt;=('Özet'!$C$6+7*35)+6,INDEX('İzin Planı'!$J$6:$J$35,32-5)&gt;=('Özet'!$C$6+7*35)),AND(N(INDEX('İzin Planı'!$L$6:$L$35,32-5))&gt;0,INDEX('İzin Planı'!$L$6:$L$35,32-5)&lt;=('Özet'!$C$6+7*35)+6,INDEX('İzin Planı'!$M$6:$M$35,32-5)&gt;=('Özet'!$C$6+7*35))),"İ",""))</f>
      </c>
      <c r="AM32" s="13">
        <f>IF(INDEX('İzin Planı'!$C$6:$C$35,32-5)="","",IF(OR(AND(N(INDEX('İzin Planı'!$F$6:$F$35,32-5))&gt;0,INDEX('İzin Planı'!$F$6:$F$35,32-5)&lt;=('Özet'!$C$6+7*36)+6,INDEX('İzin Planı'!$G$6:$G$35,32-5)&gt;=('Özet'!$C$6+7*36)),AND(N(INDEX('İzin Planı'!$I$6:$I$35,32-5))&gt;0,INDEX('İzin Planı'!$I$6:$I$35,32-5)&lt;=('Özet'!$C$6+7*36)+6,INDEX('İzin Planı'!$J$6:$J$35,32-5)&gt;=('Özet'!$C$6+7*36)),AND(N(INDEX('İzin Planı'!$L$6:$L$35,32-5))&gt;0,INDEX('İzin Planı'!$L$6:$L$35,32-5)&lt;=('Özet'!$C$6+7*36)+6,INDEX('İzin Planı'!$M$6:$M$35,32-5)&gt;=('Özet'!$C$6+7*36))),"İ",""))</f>
      </c>
      <c r="AN32" s="13">
        <f>IF(INDEX('İzin Planı'!$C$6:$C$35,32-5)="","",IF(OR(AND(N(INDEX('İzin Planı'!$F$6:$F$35,32-5))&gt;0,INDEX('İzin Planı'!$F$6:$F$35,32-5)&lt;=('Özet'!$C$6+7*37)+6,INDEX('İzin Planı'!$G$6:$G$35,32-5)&gt;=('Özet'!$C$6+7*37)),AND(N(INDEX('İzin Planı'!$I$6:$I$35,32-5))&gt;0,INDEX('İzin Planı'!$I$6:$I$35,32-5)&lt;=('Özet'!$C$6+7*37)+6,INDEX('İzin Planı'!$J$6:$J$35,32-5)&gt;=('Özet'!$C$6+7*37)),AND(N(INDEX('İzin Planı'!$L$6:$L$35,32-5))&gt;0,INDEX('İzin Planı'!$L$6:$L$35,32-5)&lt;=('Özet'!$C$6+7*37)+6,INDEX('İzin Planı'!$M$6:$M$35,32-5)&gt;=('Özet'!$C$6+7*37))),"İ",""))</f>
      </c>
      <c r="AO32" s="13">
        <f>IF(INDEX('İzin Planı'!$C$6:$C$35,32-5)="","",IF(OR(AND(N(INDEX('İzin Planı'!$F$6:$F$35,32-5))&gt;0,INDEX('İzin Planı'!$F$6:$F$35,32-5)&lt;=('Özet'!$C$6+7*38)+6,INDEX('İzin Planı'!$G$6:$G$35,32-5)&gt;=('Özet'!$C$6+7*38)),AND(N(INDEX('İzin Planı'!$I$6:$I$35,32-5))&gt;0,INDEX('İzin Planı'!$I$6:$I$35,32-5)&lt;=('Özet'!$C$6+7*38)+6,INDEX('İzin Planı'!$J$6:$J$35,32-5)&gt;=('Özet'!$C$6+7*38)),AND(N(INDEX('İzin Planı'!$L$6:$L$35,32-5))&gt;0,INDEX('İzin Planı'!$L$6:$L$35,32-5)&lt;=('Özet'!$C$6+7*38)+6,INDEX('İzin Planı'!$M$6:$M$35,32-5)&gt;=('Özet'!$C$6+7*38))),"İ",""))</f>
      </c>
      <c r="AP32" s="13">
        <f>IF(INDEX('İzin Planı'!$C$6:$C$35,32-5)="","",IF(OR(AND(N(INDEX('İzin Planı'!$F$6:$F$35,32-5))&gt;0,INDEX('İzin Planı'!$F$6:$F$35,32-5)&lt;=('Özet'!$C$6+7*39)+6,INDEX('İzin Planı'!$G$6:$G$35,32-5)&gt;=('Özet'!$C$6+7*39)),AND(N(INDEX('İzin Planı'!$I$6:$I$35,32-5))&gt;0,INDEX('İzin Planı'!$I$6:$I$35,32-5)&lt;=('Özet'!$C$6+7*39)+6,INDEX('İzin Planı'!$J$6:$J$35,32-5)&gt;=('Özet'!$C$6+7*39)),AND(N(INDEX('İzin Planı'!$L$6:$L$35,32-5))&gt;0,INDEX('İzin Planı'!$L$6:$L$35,32-5)&lt;=('Özet'!$C$6+7*39)+6,INDEX('İzin Planı'!$M$6:$M$35,32-5)&gt;=('Özet'!$C$6+7*39))),"İ",""))</f>
      </c>
      <c r="AQ32" s="13">
        <f>IF(INDEX('İzin Planı'!$C$6:$C$35,32-5)="","",IF(OR(AND(N(INDEX('İzin Planı'!$F$6:$F$35,32-5))&gt;0,INDEX('İzin Planı'!$F$6:$F$35,32-5)&lt;=('Özet'!$C$6+7*40)+6,INDEX('İzin Planı'!$G$6:$G$35,32-5)&gt;=('Özet'!$C$6+7*40)),AND(N(INDEX('İzin Planı'!$I$6:$I$35,32-5))&gt;0,INDEX('İzin Planı'!$I$6:$I$35,32-5)&lt;=('Özet'!$C$6+7*40)+6,INDEX('İzin Planı'!$J$6:$J$35,32-5)&gt;=('Özet'!$C$6+7*40)),AND(N(INDEX('İzin Planı'!$L$6:$L$35,32-5))&gt;0,INDEX('İzin Planı'!$L$6:$L$35,32-5)&lt;=('Özet'!$C$6+7*40)+6,INDEX('İzin Planı'!$M$6:$M$35,32-5)&gt;=('Özet'!$C$6+7*40))),"İ",""))</f>
      </c>
      <c r="AR32" s="13">
        <f>IF(INDEX('İzin Planı'!$C$6:$C$35,32-5)="","",IF(OR(AND(N(INDEX('İzin Planı'!$F$6:$F$35,32-5))&gt;0,INDEX('İzin Planı'!$F$6:$F$35,32-5)&lt;=('Özet'!$C$6+7*41)+6,INDEX('İzin Planı'!$G$6:$G$35,32-5)&gt;=('Özet'!$C$6+7*41)),AND(N(INDEX('İzin Planı'!$I$6:$I$35,32-5))&gt;0,INDEX('İzin Planı'!$I$6:$I$35,32-5)&lt;=('Özet'!$C$6+7*41)+6,INDEX('İzin Planı'!$J$6:$J$35,32-5)&gt;=('Özet'!$C$6+7*41)),AND(N(INDEX('İzin Planı'!$L$6:$L$35,32-5))&gt;0,INDEX('İzin Planı'!$L$6:$L$35,32-5)&lt;=('Özet'!$C$6+7*41)+6,INDEX('İzin Planı'!$M$6:$M$35,32-5)&gt;=('Özet'!$C$6+7*41))),"İ",""))</f>
      </c>
      <c r="AS32" s="13">
        <f>IF(INDEX('İzin Planı'!$C$6:$C$35,32-5)="","",IF(OR(AND(N(INDEX('İzin Planı'!$F$6:$F$35,32-5))&gt;0,INDEX('İzin Planı'!$F$6:$F$35,32-5)&lt;=('Özet'!$C$6+7*42)+6,INDEX('İzin Planı'!$G$6:$G$35,32-5)&gt;=('Özet'!$C$6+7*42)),AND(N(INDEX('İzin Planı'!$I$6:$I$35,32-5))&gt;0,INDEX('İzin Planı'!$I$6:$I$35,32-5)&lt;=('Özet'!$C$6+7*42)+6,INDEX('İzin Planı'!$J$6:$J$35,32-5)&gt;=('Özet'!$C$6+7*42)),AND(N(INDEX('İzin Planı'!$L$6:$L$35,32-5))&gt;0,INDEX('İzin Planı'!$L$6:$L$35,32-5)&lt;=('Özet'!$C$6+7*42)+6,INDEX('İzin Planı'!$M$6:$M$35,32-5)&gt;=('Özet'!$C$6+7*42))),"İ",""))</f>
      </c>
      <c r="AT32" s="13">
        <f>IF(INDEX('İzin Planı'!$C$6:$C$35,32-5)="","",IF(OR(AND(N(INDEX('İzin Planı'!$F$6:$F$35,32-5))&gt;0,INDEX('İzin Planı'!$F$6:$F$35,32-5)&lt;=('Özet'!$C$6+7*43)+6,INDEX('İzin Planı'!$G$6:$G$35,32-5)&gt;=('Özet'!$C$6+7*43)),AND(N(INDEX('İzin Planı'!$I$6:$I$35,32-5))&gt;0,INDEX('İzin Planı'!$I$6:$I$35,32-5)&lt;=('Özet'!$C$6+7*43)+6,INDEX('İzin Planı'!$J$6:$J$35,32-5)&gt;=('Özet'!$C$6+7*43)),AND(N(INDEX('İzin Planı'!$L$6:$L$35,32-5))&gt;0,INDEX('İzin Planı'!$L$6:$L$35,32-5)&lt;=('Özet'!$C$6+7*43)+6,INDEX('İzin Planı'!$M$6:$M$35,32-5)&gt;=('Özet'!$C$6+7*43))),"İ",""))</f>
      </c>
      <c r="AU32" s="13">
        <f>IF(INDEX('İzin Planı'!$C$6:$C$35,32-5)="","",IF(OR(AND(N(INDEX('İzin Planı'!$F$6:$F$35,32-5))&gt;0,INDEX('İzin Planı'!$F$6:$F$35,32-5)&lt;=('Özet'!$C$6+7*44)+6,INDEX('İzin Planı'!$G$6:$G$35,32-5)&gt;=('Özet'!$C$6+7*44)),AND(N(INDEX('İzin Planı'!$I$6:$I$35,32-5))&gt;0,INDEX('İzin Planı'!$I$6:$I$35,32-5)&lt;=('Özet'!$C$6+7*44)+6,INDEX('İzin Planı'!$J$6:$J$35,32-5)&gt;=('Özet'!$C$6+7*44)),AND(N(INDEX('İzin Planı'!$L$6:$L$35,32-5))&gt;0,INDEX('İzin Planı'!$L$6:$L$35,32-5)&lt;=('Özet'!$C$6+7*44)+6,INDEX('İzin Planı'!$M$6:$M$35,32-5)&gt;=('Özet'!$C$6+7*44))),"İ",""))</f>
      </c>
      <c r="AV32" s="13">
        <f>IF(INDEX('İzin Planı'!$C$6:$C$35,32-5)="","",IF(OR(AND(N(INDEX('İzin Planı'!$F$6:$F$35,32-5))&gt;0,INDEX('İzin Planı'!$F$6:$F$35,32-5)&lt;=('Özet'!$C$6+7*45)+6,INDEX('İzin Planı'!$G$6:$G$35,32-5)&gt;=('Özet'!$C$6+7*45)),AND(N(INDEX('İzin Planı'!$I$6:$I$35,32-5))&gt;0,INDEX('İzin Planı'!$I$6:$I$35,32-5)&lt;=('Özet'!$C$6+7*45)+6,INDEX('İzin Planı'!$J$6:$J$35,32-5)&gt;=('Özet'!$C$6+7*45)),AND(N(INDEX('İzin Planı'!$L$6:$L$35,32-5))&gt;0,INDEX('İzin Planı'!$L$6:$L$35,32-5)&lt;=('Özet'!$C$6+7*45)+6,INDEX('İzin Planı'!$M$6:$M$35,32-5)&gt;=('Özet'!$C$6+7*45))),"İ",""))</f>
      </c>
      <c r="AW32" s="13">
        <f>IF(INDEX('İzin Planı'!$C$6:$C$35,32-5)="","",IF(OR(AND(N(INDEX('İzin Planı'!$F$6:$F$35,32-5))&gt;0,INDEX('İzin Planı'!$F$6:$F$35,32-5)&lt;=('Özet'!$C$6+7*46)+6,INDEX('İzin Planı'!$G$6:$G$35,32-5)&gt;=('Özet'!$C$6+7*46)),AND(N(INDEX('İzin Planı'!$I$6:$I$35,32-5))&gt;0,INDEX('İzin Planı'!$I$6:$I$35,32-5)&lt;=('Özet'!$C$6+7*46)+6,INDEX('İzin Planı'!$J$6:$J$35,32-5)&gt;=('Özet'!$C$6+7*46)),AND(N(INDEX('İzin Planı'!$L$6:$L$35,32-5))&gt;0,INDEX('İzin Planı'!$L$6:$L$35,32-5)&lt;=('Özet'!$C$6+7*46)+6,INDEX('İzin Planı'!$M$6:$M$35,32-5)&gt;=('Özet'!$C$6+7*46))),"İ",""))</f>
      </c>
      <c r="AX32" s="13">
        <f>IF(INDEX('İzin Planı'!$C$6:$C$35,32-5)="","",IF(OR(AND(N(INDEX('İzin Planı'!$F$6:$F$35,32-5))&gt;0,INDEX('İzin Planı'!$F$6:$F$35,32-5)&lt;=('Özet'!$C$6+7*47)+6,INDEX('İzin Planı'!$G$6:$G$35,32-5)&gt;=('Özet'!$C$6+7*47)),AND(N(INDEX('İzin Planı'!$I$6:$I$35,32-5))&gt;0,INDEX('İzin Planı'!$I$6:$I$35,32-5)&lt;=('Özet'!$C$6+7*47)+6,INDEX('İzin Planı'!$J$6:$J$35,32-5)&gt;=('Özet'!$C$6+7*47)),AND(N(INDEX('İzin Planı'!$L$6:$L$35,32-5))&gt;0,INDEX('İzin Planı'!$L$6:$L$35,32-5)&lt;=('Özet'!$C$6+7*47)+6,INDEX('İzin Planı'!$M$6:$M$35,32-5)&gt;=('Özet'!$C$6+7*47))),"İ",""))</f>
      </c>
      <c r="AY32" s="13">
        <f>IF(INDEX('İzin Planı'!$C$6:$C$35,32-5)="","",IF(OR(AND(N(INDEX('İzin Planı'!$F$6:$F$35,32-5))&gt;0,INDEX('İzin Planı'!$F$6:$F$35,32-5)&lt;=('Özet'!$C$6+7*48)+6,INDEX('İzin Planı'!$G$6:$G$35,32-5)&gt;=('Özet'!$C$6+7*48)),AND(N(INDEX('İzin Planı'!$I$6:$I$35,32-5))&gt;0,INDEX('İzin Planı'!$I$6:$I$35,32-5)&lt;=('Özet'!$C$6+7*48)+6,INDEX('İzin Planı'!$J$6:$J$35,32-5)&gt;=('Özet'!$C$6+7*48)),AND(N(INDEX('İzin Planı'!$L$6:$L$35,32-5))&gt;0,INDEX('İzin Planı'!$L$6:$L$35,32-5)&lt;=('Özet'!$C$6+7*48)+6,INDEX('İzin Planı'!$M$6:$M$35,32-5)&gt;=('Özet'!$C$6+7*48))),"İ",""))</f>
      </c>
      <c r="AZ32" s="13">
        <f>IF(INDEX('İzin Planı'!$C$6:$C$35,32-5)="","",IF(OR(AND(N(INDEX('İzin Planı'!$F$6:$F$35,32-5))&gt;0,INDEX('İzin Planı'!$F$6:$F$35,32-5)&lt;=('Özet'!$C$6+7*49)+6,INDEX('İzin Planı'!$G$6:$G$35,32-5)&gt;=('Özet'!$C$6+7*49)),AND(N(INDEX('İzin Planı'!$I$6:$I$35,32-5))&gt;0,INDEX('İzin Planı'!$I$6:$I$35,32-5)&lt;=('Özet'!$C$6+7*49)+6,INDEX('İzin Planı'!$J$6:$J$35,32-5)&gt;=('Özet'!$C$6+7*49)),AND(N(INDEX('İzin Planı'!$L$6:$L$35,32-5))&gt;0,INDEX('İzin Planı'!$L$6:$L$35,32-5)&lt;=('Özet'!$C$6+7*49)+6,INDEX('İzin Planı'!$M$6:$M$35,32-5)&gt;=('Özet'!$C$6+7*49))),"İ",""))</f>
      </c>
      <c r="BA32" s="13">
        <f>IF(INDEX('İzin Planı'!$C$6:$C$35,32-5)="","",IF(OR(AND(N(INDEX('İzin Planı'!$F$6:$F$35,32-5))&gt;0,INDEX('İzin Planı'!$F$6:$F$35,32-5)&lt;=('Özet'!$C$6+7*50)+6,INDEX('İzin Planı'!$G$6:$G$35,32-5)&gt;=('Özet'!$C$6+7*50)),AND(N(INDEX('İzin Planı'!$I$6:$I$35,32-5))&gt;0,INDEX('İzin Planı'!$I$6:$I$35,32-5)&lt;=('Özet'!$C$6+7*50)+6,INDEX('İzin Planı'!$J$6:$J$35,32-5)&gt;=('Özet'!$C$6+7*50)),AND(N(INDEX('İzin Planı'!$L$6:$L$35,32-5))&gt;0,INDEX('İzin Planı'!$L$6:$L$35,32-5)&lt;=('Özet'!$C$6+7*50)+6,INDEX('İzin Planı'!$M$6:$M$35,32-5)&gt;=('Özet'!$C$6+7*50))),"İ",""))</f>
      </c>
      <c r="BB32" s="13">
        <f>IF(INDEX('İzin Planı'!$C$6:$C$35,32-5)="","",IF(OR(AND(N(INDEX('İzin Planı'!$F$6:$F$35,32-5))&gt;0,INDEX('İzin Planı'!$F$6:$F$35,32-5)&lt;=('Özet'!$C$6+7*51)+6,INDEX('İzin Planı'!$G$6:$G$35,32-5)&gt;=('Özet'!$C$6+7*51)),AND(N(INDEX('İzin Planı'!$I$6:$I$35,32-5))&gt;0,INDEX('İzin Planı'!$I$6:$I$35,32-5)&lt;=('Özet'!$C$6+7*51)+6,INDEX('İzin Planı'!$J$6:$J$35,32-5)&gt;=('Özet'!$C$6+7*51)),AND(N(INDEX('İzin Planı'!$L$6:$L$35,32-5))&gt;0,INDEX('İzin Planı'!$L$6:$L$35,32-5)&lt;=('Özet'!$C$6+7*51)+6,INDEX('İzin Planı'!$M$6:$M$35,32-5)&gt;=('Özet'!$C$6+7*51))),"İ",""))</f>
      </c>
      <c r="BC32" s="13">
        <f>IF(INDEX('İzin Planı'!$C$6:$C$35,32-5)="","",IF(OR(AND(N(INDEX('İzin Planı'!$F$6:$F$35,32-5))&gt;0,INDEX('İzin Planı'!$F$6:$F$35,32-5)&lt;=('Özet'!$C$6+7*52)+6,INDEX('İzin Planı'!$G$6:$G$35,32-5)&gt;=('Özet'!$C$6+7*52)),AND(N(INDEX('İzin Planı'!$I$6:$I$35,32-5))&gt;0,INDEX('İzin Planı'!$I$6:$I$35,32-5)&lt;=('Özet'!$C$6+7*52)+6,INDEX('İzin Planı'!$J$6:$J$35,32-5)&gt;=('Özet'!$C$6+7*52)),AND(N(INDEX('İzin Planı'!$L$6:$L$35,32-5))&gt;0,INDEX('İzin Planı'!$L$6:$L$35,32-5)&lt;=('Özet'!$C$6+7*52)+6,INDEX('İzin Planı'!$M$6:$M$35,32-5)&gt;=('Özet'!$C$6+7*52))),"İ",""))</f>
      </c>
    </row>
    <row r="33" ht="18" customHeight="1" spans="1:55" x14ac:dyDescent="0.25">
      <c r="A33" s="6">
        <v>28</v>
      </c>
      <c r="B33" s="13">
        <f>IF(INDEX('İzin Planı'!$C$6:$C$35,33-5)="","",INDEX('İzin Planı'!$C$6:$C$35,33-5))</f>
      </c>
      <c r="C33" s="13">
        <f>IF(INDEX('İzin Planı'!$C$6:$C$35,33-5)="","",IF(OR(AND(N(INDEX('İzin Planı'!$F$6:$F$35,33-5))&gt;0,INDEX('İzin Planı'!$F$6:$F$35,33-5)&lt;=('Özet'!$C$6+7*0)+6,INDEX('İzin Planı'!$G$6:$G$35,33-5)&gt;=('Özet'!$C$6+7*0)),AND(N(INDEX('İzin Planı'!$I$6:$I$35,33-5))&gt;0,INDEX('İzin Planı'!$I$6:$I$35,33-5)&lt;=('Özet'!$C$6+7*0)+6,INDEX('İzin Planı'!$J$6:$J$35,33-5)&gt;=('Özet'!$C$6+7*0)),AND(N(INDEX('İzin Planı'!$L$6:$L$35,33-5))&gt;0,INDEX('İzin Planı'!$L$6:$L$35,33-5)&lt;=('Özet'!$C$6+7*0)+6,INDEX('İzin Planı'!$M$6:$M$35,33-5)&gt;=('Özet'!$C$6+7*0))),"İ",""))</f>
      </c>
      <c r="D33" s="13">
        <f>IF(INDEX('İzin Planı'!$C$6:$C$35,33-5)="","",IF(OR(AND(N(INDEX('İzin Planı'!$F$6:$F$35,33-5))&gt;0,INDEX('İzin Planı'!$F$6:$F$35,33-5)&lt;=('Özet'!$C$6+7*1)+6,INDEX('İzin Planı'!$G$6:$G$35,33-5)&gt;=('Özet'!$C$6+7*1)),AND(N(INDEX('İzin Planı'!$I$6:$I$35,33-5))&gt;0,INDEX('İzin Planı'!$I$6:$I$35,33-5)&lt;=('Özet'!$C$6+7*1)+6,INDEX('İzin Planı'!$J$6:$J$35,33-5)&gt;=('Özet'!$C$6+7*1)),AND(N(INDEX('İzin Planı'!$L$6:$L$35,33-5))&gt;0,INDEX('İzin Planı'!$L$6:$L$35,33-5)&lt;=('Özet'!$C$6+7*1)+6,INDEX('İzin Planı'!$M$6:$M$35,33-5)&gt;=('Özet'!$C$6+7*1))),"İ",""))</f>
      </c>
      <c r="E33" s="13">
        <f>IF(INDEX('İzin Planı'!$C$6:$C$35,33-5)="","",IF(OR(AND(N(INDEX('İzin Planı'!$F$6:$F$35,33-5))&gt;0,INDEX('İzin Planı'!$F$6:$F$35,33-5)&lt;=('Özet'!$C$6+7*2)+6,INDEX('İzin Planı'!$G$6:$G$35,33-5)&gt;=('Özet'!$C$6+7*2)),AND(N(INDEX('İzin Planı'!$I$6:$I$35,33-5))&gt;0,INDEX('İzin Planı'!$I$6:$I$35,33-5)&lt;=('Özet'!$C$6+7*2)+6,INDEX('İzin Planı'!$J$6:$J$35,33-5)&gt;=('Özet'!$C$6+7*2)),AND(N(INDEX('İzin Planı'!$L$6:$L$35,33-5))&gt;0,INDEX('İzin Planı'!$L$6:$L$35,33-5)&lt;=('Özet'!$C$6+7*2)+6,INDEX('İzin Planı'!$M$6:$M$35,33-5)&gt;=('Özet'!$C$6+7*2))),"İ",""))</f>
      </c>
      <c r="F33" s="13">
        <f>IF(INDEX('İzin Planı'!$C$6:$C$35,33-5)="","",IF(OR(AND(N(INDEX('İzin Planı'!$F$6:$F$35,33-5))&gt;0,INDEX('İzin Planı'!$F$6:$F$35,33-5)&lt;=('Özet'!$C$6+7*3)+6,INDEX('İzin Planı'!$G$6:$G$35,33-5)&gt;=('Özet'!$C$6+7*3)),AND(N(INDEX('İzin Planı'!$I$6:$I$35,33-5))&gt;0,INDEX('İzin Planı'!$I$6:$I$35,33-5)&lt;=('Özet'!$C$6+7*3)+6,INDEX('İzin Planı'!$J$6:$J$35,33-5)&gt;=('Özet'!$C$6+7*3)),AND(N(INDEX('İzin Planı'!$L$6:$L$35,33-5))&gt;0,INDEX('İzin Planı'!$L$6:$L$35,33-5)&lt;=('Özet'!$C$6+7*3)+6,INDEX('İzin Planı'!$M$6:$M$35,33-5)&gt;=('Özet'!$C$6+7*3))),"İ",""))</f>
      </c>
      <c r="G33" s="13">
        <f>IF(INDEX('İzin Planı'!$C$6:$C$35,33-5)="","",IF(OR(AND(N(INDEX('İzin Planı'!$F$6:$F$35,33-5))&gt;0,INDEX('İzin Planı'!$F$6:$F$35,33-5)&lt;=('Özet'!$C$6+7*4)+6,INDEX('İzin Planı'!$G$6:$G$35,33-5)&gt;=('Özet'!$C$6+7*4)),AND(N(INDEX('İzin Planı'!$I$6:$I$35,33-5))&gt;0,INDEX('İzin Planı'!$I$6:$I$35,33-5)&lt;=('Özet'!$C$6+7*4)+6,INDEX('İzin Planı'!$J$6:$J$35,33-5)&gt;=('Özet'!$C$6+7*4)),AND(N(INDEX('İzin Planı'!$L$6:$L$35,33-5))&gt;0,INDEX('İzin Planı'!$L$6:$L$35,33-5)&lt;=('Özet'!$C$6+7*4)+6,INDEX('İzin Planı'!$M$6:$M$35,33-5)&gt;=('Özet'!$C$6+7*4))),"İ",""))</f>
      </c>
      <c r="H33" s="13">
        <f>IF(INDEX('İzin Planı'!$C$6:$C$35,33-5)="","",IF(OR(AND(N(INDEX('İzin Planı'!$F$6:$F$35,33-5))&gt;0,INDEX('İzin Planı'!$F$6:$F$35,33-5)&lt;=('Özet'!$C$6+7*5)+6,INDEX('İzin Planı'!$G$6:$G$35,33-5)&gt;=('Özet'!$C$6+7*5)),AND(N(INDEX('İzin Planı'!$I$6:$I$35,33-5))&gt;0,INDEX('İzin Planı'!$I$6:$I$35,33-5)&lt;=('Özet'!$C$6+7*5)+6,INDEX('İzin Planı'!$J$6:$J$35,33-5)&gt;=('Özet'!$C$6+7*5)),AND(N(INDEX('İzin Planı'!$L$6:$L$35,33-5))&gt;0,INDEX('İzin Planı'!$L$6:$L$35,33-5)&lt;=('Özet'!$C$6+7*5)+6,INDEX('İzin Planı'!$M$6:$M$35,33-5)&gt;=('Özet'!$C$6+7*5))),"İ",""))</f>
      </c>
      <c r="I33" s="13">
        <f>IF(INDEX('İzin Planı'!$C$6:$C$35,33-5)="","",IF(OR(AND(N(INDEX('İzin Planı'!$F$6:$F$35,33-5))&gt;0,INDEX('İzin Planı'!$F$6:$F$35,33-5)&lt;=('Özet'!$C$6+7*6)+6,INDEX('İzin Planı'!$G$6:$G$35,33-5)&gt;=('Özet'!$C$6+7*6)),AND(N(INDEX('İzin Planı'!$I$6:$I$35,33-5))&gt;0,INDEX('İzin Planı'!$I$6:$I$35,33-5)&lt;=('Özet'!$C$6+7*6)+6,INDEX('İzin Planı'!$J$6:$J$35,33-5)&gt;=('Özet'!$C$6+7*6)),AND(N(INDEX('İzin Planı'!$L$6:$L$35,33-5))&gt;0,INDEX('İzin Planı'!$L$6:$L$35,33-5)&lt;=('Özet'!$C$6+7*6)+6,INDEX('İzin Planı'!$M$6:$M$35,33-5)&gt;=('Özet'!$C$6+7*6))),"İ",""))</f>
      </c>
      <c r="J33" s="13">
        <f>IF(INDEX('İzin Planı'!$C$6:$C$35,33-5)="","",IF(OR(AND(N(INDEX('İzin Planı'!$F$6:$F$35,33-5))&gt;0,INDEX('İzin Planı'!$F$6:$F$35,33-5)&lt;=('Özet'!$C$6+7*7)+6,INDEX('İzin Planı'!$G$6:$G$35,33-5)&gt;=('Özet'!$C$6+7*7)),AND(N(INDEX('İzin Planı'!$I$6:$I$35,33-5))&gt;0,INDEX('İzin Planı'!$I$6:$I$35,33-5)&lt;=('Özet'!$C$6+7*7)+6,INDEX('İzin Planı'!$J$6:$J$35,33-5)&gt;=('Özet'!$C$6+7*7)),AND(N(INDEX('İzin Planı'!$L$6:$L$35,33-5))&gt;0,INDEX('İzin Planı'!$L$6:$L$35,33-5)&lt;=('Özet'!$C$6+7*7)+6,INDEX('İzin Planı'!$M$6:$M$35,33-5)&gt;=('Özet'!$C$6+7*7))),"İ",""))</f>
      </c>
      <c r="K33" s="13">
        <f>IF(INDEX('İzin Planı'!$C$6:$C$35,33-5)="","",IF(OR(AND(N(INDEX('İzin Planı'!$F$6:$F$35,33-5))&gt;0,INDEX('İzin Planı'!$F$6:$F$35,33-5)&lt;=('Özet'!$C$6+7*8)+6,INDEX('İzin Planı'!$G$6:$G$35,33-5)&gt;=('Özet'!$C$6+7*8)),AND(N(INDEX('İzin Planı'!$I$6:$I$35,33-5))&gt;0,INDEX('İzin Planı'!$I$6:$I$35,33-5)&lt;=('Özet'!$C$6+7*8)+6,INDEX('İzin Planı'!$J$6:$J$35,33-5)&gt;=('Özet'!$C$6+7*8)),AND(N(INDEX('İzin Planı'!$L$6:$L$35,33-5))&gt;0,INDEX('İzin Planı'!$L$6:$L$35,33-5)&lt;=('Özet'!$C$6+7*8)+6,INDEX('İzin Planı'!$M$6:$M$35,33-5)&gt;=('Özet'!$C$6+7*8))),"İ",""))</f>
      </c>
      <c r="L33" s="13">
        <f>IF(INDEX('İzin Planı'!$C$6:$C$35,33-5)="","",IF(OR(AND(N(INDEX('İzin Planı'!$F$6:$F$35,33-5))&gt;0,INDEX('İzin Planı'!$F$6:$F$35,33-5)&lt;=('Özet'!$C$6+7*9)+6,INDEX('İzin Planı'!$G$6:$G$35,33-5)&gt;=('Özet'!$C$6+7*9)),AND(N(INDEX('İzin Planı'!$I$6:$I$35,33-5))&gt;0,INDEX('İzin Planı'!$I$6:$I$35,33-5)&lt;=('Özet'!$C$6+7*9)+6,INDEX('İzin Planı'!$J$6:$J$35,33-5)&gt;=('Özet'!$C$6+7*9)),AND(N(INDEX('İzin Planı'!$L$6:$L$35,33-5))&gt;0,INDEX('İzin Planı'!$L$6:$L$35,33-5)&lt;=('Özet'!$C$6+7*9)+6,INDEX('İzin Planı'!$M$6:$M$35,33-5)&gt;=('Özet'!$C$6+7*9))),"İ",""))</f>
      </c>
      <c r="M33" s="13">
        <f>IF(INDEX('İzin Planı'!$C$6:$C$35,33-5)="","",IF(OR(AND(N(INDEX('İzin Planı'!$F$6:$F$35,33-5))&gt;0,INDEX('İzin Planı'!$F$6:$F$35,33-5)&lt;=('Özet'!$C$6+7*10)+6,INDEX('İzin Planı'!$G$6:$G$35,33-5)&gt;=('Özet'!$C$6+7*10)),AND(N(INDEX('İzin Planı'!$I$6:$I$35,33-5))&gt;0,INDEX('İzin Planı'!$I$6:$I$35,33-5)&lt;=('Özet'!$C$6+7*10)+6,INDEX('İzin Planı'!$J$6:$J$35,33-5)&gt;=('Özet'!$C$6+7*10)),AND(N(INDEX('İzin Planı'!$L$6:$L$35,33-5))&gt;0,INDEX('İzin Planı'!$L$6:$L$35,33-5)&lt;=('Özet'!$C$6+7*10)+6,INDEX('İzin Planı'!$M$6:$M$35,33-5)&gt;=('Özet'!$C$6+7*10))),"İ",""))</f>
      </c>
      <c r="N33" s="13">
        <f>IF(INDEX('İzin Planı'!$C$6:$C$35,33-5)="","",IF(OR(AND(N(INDEX('İzin Planı'!$F$6:$F$35,33-5))&gt;0,INDEX('İzin Planı'!$F$6:$F$35,33-5)&lt;=('Özet'!$C$6+7*11)+6,INDEX('İzin Planı'!$G$6:$G$35,33-5)&gt;=('Özet'!$C$6+7*11)),AND(N(INDEX('İzin Planı'!$I$6:$I$35,33-5))&gt;0,INDEX('İzin Planı'!$I$6:$I$35,33-5)&lt;=('Özet'!$C$6+7*11)+6,INDEX('İzin Planı'!$J$6:$J$35,33-5)&gt;=('Özet'!$C$6+7*11)),AND(N(INDEX('İzin Planı'!$L$6:$L$35,33-5))&gt;0,INDEX('İzin Planı'!$L$6:$L$35,33-5)&lt;=('Özet'!$C$6+7*11)+6,INDEX('İzin Planı'!$M$6:$M$35,33-5)&gt;=('Özet'!$C$6+7*11))),"İ",""))</f>
      </c>
      <c r="O33" s="13">
        <f>IF(INDEX('İzin Planı'!$C$6:$C$35,33-5)="","",IF(OR(AND(N(INDEX('İzin Planı'!$F$6:$F$35,33-5))&gt;0,INDEX('İzin Planı'!$F$6:$F$35,33-5)&lt;=('Özet'!$C$6+7*12)+6,INDEX('İzin Planı'!$G$6:$G$35,33-5)&gt;=('Özet'!$C$6+7*12)),AND(N(INDEX('İzin Planı'!$I$6:$I$35,33-5))&gt;0,INDEX('İzin Planı'!$I$6:$I$35,33-5)&lt;=('Özet'!$C$6+7*12)+6,INDEX('İzin Planı'!$J$6:$J$35,33-5)&gt;=('Özet'!$C$6+7*12)),AND(N(INDEX('İzin Planı'!$L$6:$L$35,33-5))&gt;0,INDEX('İzin Planı'!$L$6:$L$35,33-5)&lt;=('Özet'!$C$6+7*12)+6,INDEX('İzin Planı'!$M$6:$M$35,33-5)&gt;=('Özet'!$C$6+7*12))),"İ",""))</f>
      </c>
      <c r="P33" s="13">
        <f>IF(INDEX('İzin Planı'!$C$6:$C$35,33-5)="","",IF(OR(AND(N(INDEX('İzin Planı'!$F$6:$F$35,33-5))&gt;0,INDEX('İzin Planı'!$F$6:$F$35,33-5)&lt;=('Özet'!$C$6+7*13)+6,INDEX('İzin Planı'!$G$6:$G$35,33-5)&gt;=('Özet'!$C$6+7*13)),AND(N(INDEX('İzin Planı'!$I$6:$I$35,33-5))&gt;0,INDEX('İzin Planı'!$I$6:$I$35,33-5)&lt;=('Özet'!$C$6+7*13)+6,INDEX('İzin Planı'!$J$6:$J$35,33-5)&gt;=('Özet'!$C$6+7*13)),AND(N(INDEX('İzin Planı'!$L$6:$L$35,33-5))&gt;0,INDEX('İzin Planı'!$L$6:$L$35,33-5)&lt;=('Özet'!$C$6+7*13)+6,INDEX('İzin Planı'!$M$6:$M$35,33-5)&gt;=('Özet'!$C$6+7*13))),"İ",""))</f>
      </c>
      <c r="Q33" s="13">
        <f>IF(INDEX('İzin Planı'!$C$6:$C$35,33-5)="","",IF(OR(AND(N(INDEX('İzin Planı'!$F$6:$F$35,33-5))&gt;0,INDEX('İzin Planı'!$F$6:$F$35,33-5)&lt;=('Özet'!$C$6+7*14)+6,INDEX('İzin Planı'!$G$6:$G$35,33-5)&gt;=('Özet'!$C$6+7*14)),AND(N(INDEX('İzin Planı'!$I$6:$I$35,33-5))&gt;0,INDEX('İzin Planı'!$I$6:$I$35,33-5)&lt;=('Özet'!$C$6+7*14)+6,INDEX('İzin Planı'!$J$6:$J$35,33-5)&gt;=('Özet'!$C$6+7*14)),AND(N(INDEX('İzin Planı'!$L$6:$L$35,33-5))&gt;0,INDEX('İzin Planı'!$L$6:$L$35,33-5)&lt;=('Özet'!$C$6+7*14)+6,INDEX('İzin Planı'!$M$6:$M$35,33-5)&gt;=('Özet'!$C$6+7*14))),"İ",""))</f>
      </c>
      <c r="R33" s="13">
        <f>IF(INDEX('İzin Planı'!$C$6:$C$35,33-5)="","",IF(OR(AND(N(INDEX('İzin Planı'!$F$6:$F$35,33-5))&gt;0,INDEX('İzin Planı'!$F$6:$F$35,33-5)&lt;=('Özet'!$C$6+7*15)+6,INDEX('İzin Planı'!$G$6:$G$35,33-5)&gt;=('Özet'!$C$6+7*15)),AND(N(INDEX('İzin Planı'!$I$6:$I$35,33-5))&gt;0,INDEX('İzin Planı'!$I$6:$I$35,33-5)&lt;=('Özet'!$C$6+7*15)+6,INDEX('İzin Planı'!$J$6:$J$35,33-5)&gt;=('Özet'!$C$6+7*15)),AND(N(INDEX('İzin Planı'!$L$6:$L$35,33-5))&gt;0,INDEX('İzin Planı'!$L$6:$L$35,33-5)&lt;=('Özet'!$C$6+7*15)+6,INDEX('İzin Planı'!$M$6:$M$35,33-5)&gt;=('Özet'!$C$6+7*15))),"İ",""))</f>
      </c>
      <c r="S33" s="13">
        <f>IF(INDEX('İzin Planı'!$C$6:$C$35,33-5)="","",IF(OR(AND(N(INDEX('İzin Planı'!$F$6:$F$35,33-5))&gt;0,INDEX('İzin Planı'!$F$6:$F$35,33-5)&lt;=('Özet'!$C$6+7*16)+6,INDEX('İzin Planı'!$G$6:$G$35,33-5)&gt;=('Özet'!$C$6+7*16)),AND(N(INDEX('İzin Planı'!$I$6:$I$35,33-5))&gt;0,INDEX('İzin Planı'!$I$6:$I$35,33-5)&lt;=('Özet'!$C$6+7*16)+6,INDEX('İzin Planı'!$J$6:$J$35,33-5)&gt;=('Özet'!$C$6+7*16)),AND(N(INDEX('İzin Planı'!$L$6:$L$35,33-5))&gt;0,INDEX('İzin Planı'!$L$6:$L$35,33-5)&lt;=('Özet'!$C$6+7*16)+6,INDEX('İzin Planı'!$M$6:$M$35,33-5)&gt;=('Özet'!$C$6+7*16))),"İ",""))</f>
      </c>
      <c r="T33" s="13">
        <f>IF(INDEX('İzin Planı'!$C$6:$C$35,33-5)="","",IF(OR(AND(N(INDEX('İzin Planı'!$F$6:$F$35,33-5))&gt;0,INDEX('İzin Planı'!$F$6:$F$35,33-5)&lt;=('Özet'!$C$6+7*17)+6,INDEX('İzin Planı'!$G$6:$G$35,33-5)&gt;=('Özet'!$C$6+7*17)),AND(N(INDEX('İzin Planı'!$I$6:$I$35,33-5))&gt;0,INDEX('İzin Planı'!$I$6:$I$35,33-5)&lt;=('Özet'!$C$6+7*17)+6,INDEX('İzin Planı'!$J$6:$J$35,33-5)&gt;=('Özet'!$C$6+7*17)),AND(N(INDEX('İzin Planı'!$L$6:$L$35,33-5))&gt;0,INDEX('İzin Planı'!$L$6:$L$35,33-5)&lt;=('Özet'!$C$6+7*17)+6,INDEX('İzin Planı'!$M$6:$M$35,33-5)&gt;=('Özet'!$C$6+7*17))),"İ",""))</f>
      </c>
      <c r="U33" s="13">
        <f>IF(INDEX('İzin Planı'!$C$6:$C$35,33-5)="","",IF(OR(AND(N(INDEX('İzin Planı'!$F$6:$F$35,33-5))&gt;0,INDEX('İzin Planı'!$F$6:$F$35,33-5)&lt;=('Özet'!$C$6+7*18)+6,INDEX('İzin Planı'!$G$6:$G$35,33-5)&gt;=('Özet'!$C$6+7*18)),AND(N(INDEX('İzin Planı'!$I$6:$I$35,33-5))&gt;0,INDEX('İzin Planı'!$I$6:$I$35,33-5)&lt;=('Özet'!$C$6+7*18)+6,INDEX('İzin Planı'!$J$6:$J$35,33-5)&gt;=('Özet'!$C$6+7*18)),AND(N(INDEX('İzin Planı'!$L$6:$L$35,33-5))&gt;0,INDEX('İzin Planı'!$L$6:$L$35,33-5)&lt;=('Özet'!$C$6+7*18)+6,INDEX('İzin Planı'!$M$6:$M$35,33-5)&gt;=('Özet'!$C$6+7*18))),"İ",""))</f>
      </c>
      <c r="V33" s="13">
        <f>IF(INDEX('İzin Planı'!$C$6:$C$35,33-5)="","",IF(OR(AND(N(INDEX('İzin Planı'!$F$6:$F$35,33-5))&gt;0,INDEX('İzin Planı'!$F$6:$F$35,33-5)&lt;=('Özet'!$C$6+7*19)+6,INDEX('İzin Planı'!$G$6:$G$35,33-5)&gt;=('Özet'!$C$6+7*19)),AND(N(INDEX('İzin Planı'!$I$6:$I$35,33-5))&gt;0,INDEX('İzin Planı'!$I$6:$I$35,33-5)&lt;=('Özet'!$C$6+7*19)+6,INDEX('İzin Planı'!$J$6:$J$35,33-5)&gt;=('Özet'!$C$6+7*19)),AND(N(INDEX('İzin Planı'!$L$6:$L$35,33-5))&gt;0,INDEX('İzin Planı'!$L$6:$L$35,33-5)&lt;=('Özet'!$C$6+7*19)+6,INDEX('İzin Planı'!$M$6:$M$35,33-5)&gt;=('Özet'!$C$6+7*19))),"İ",""))</f>
      </c>
      <c r="W33" s="13">
        <f>IF(INDEX('İzin Planı'!$C$6:$C$35,33-5)="","",IF(OR(AND(N(INDEX('İzin Planı'!$F$6:$F$35,33-5))&gt;0,INDEX('İzin Planı'!$F$6:$F$35,33-5)&lt;=('Özet'!$C$6+7*20)+6,INDEX('İzin Planı'!$G$6:$G$35,33-5)&gt;=('Özet'!$C$6+7*20)),AND(N(INDEX('İzin Planı'!$I$6:$I$35,33-5))&gt;0,INDEX('İzin Planı'!$I$6:$I$35,33-5)&lt;=('Özet'!$C$6+7*20)+6,INDEX('İzin Planı'!$J$6:$J$35,33-5)&gt;=('Özet'!$C$6+7*20)),AND(N(INDEX('İzin Planı'!$L$6:$L$35,33-5))&gt;0,INDEX('İzin Planı'!$L$6:$L$35,33-5)&lt;=('Özet'!$C$6+7*20)+6,INDEX('İzin Planı'!$M$6:$M$35,33-5)&gt;=('Özet'!$C$6+7*20))),"İ",""))</f>
      </c>
      <c r="X33" s="13">
        <f>IF(INDEX('İzin Planı'!$C$6:$C$35,33-5)="","",IF(OR(AND(N(INDEX('İzin Planı'!$F$6:$F$35,33-5))&gt;0,INDEX('İzin Planı'!$F$6:$F$35,33-5)&lt;=('Özet'!$C$6+7*21)+6,INDEX('İzin Planı'!$G$6:$G$35,33-5)&gt;=('Özet'!$C$6+7*21)),AND(N(INDEX('İzin Planı'!$I$6:$I$35,33-5))&gt;0,INDEX('İzin Planı'!$I$6:$I$35,33-5)&lt;=('Özet'!$C$6+7*21)+6,INDEX('İzin Planı'!$J$6:$J$35,33-5)&gt;=('Özet'!$C$6+7*21)),AND(N(INDEX('İzin Planı'!$L$6:$L$35,33-5))&gt;0,INDEX('İzin Planı'!$L$6:$L$35,33-5)&lt;=('Özet'!$C$6+7*21)+6,INDEX('İzin Planı'!$M$6:$M$35,33-5)&gt;=('Özet'!$C$6+7*21))),"İ",""))</f>
      </c>
      <c r="Y33" s="13">
        <f>IF(INDEX('İzin Planı'!$C$6:$C$35,33-5)="","",IF(OR(AND(N(INDEX('İzin Planı'!$F$6:$F$35,33-5))&gt;0,INDEX('İzin Planı'!$F$6:$F$35,33-5)&lt;=('Özet'!$C$6+7*22)+6,INDEX('İzin Planı'!$G$6:$G$35,33-5)&gt;=('Özet'!$C$6+7*22)),AND(N(INDEX('İzin Planı'!$I$6:$I$35,33-5))&gt;0,INDEX('İzin Planı'!$I$6:$I$35,33-5)&lt;=('Özet'!$C$6+7*22)+6,INDEX('İzin Planı'!$J$6:$J$35,33-5)&gt;=('Özet'!$C$6+7*22)),AND(N(INDEX('İzin Planı'!$L$6:$L$35,33-5))&gt;0,INDEX('İzin Planı'!$L$6:$L$35,33-5)&lt;=('Özet'!$C$6+7*22)+6,INDEX('İzin Planı'!$M$6:$M$35,33-5)&gt;=('Özet'!$C$6+7*22))),"İ",""))</f>
      </c>
      <c r="Z33" s="13">
        <f>IF(INDEX('İzin Planı'!$C$6:$C$35,33-5)="","",IF(OR(AND(N(INDEX('İzin Planı'!$F$6:$F$35,33-5))&gt;0,INDEX('İzin Planı'!$F$6:$F$35,33-5)&lt;=('Özet'!$C$6+7*23)+6,INDEX('İzin Planı'!$G$6:$G$35,33-5)&gt;=('Özet'!$C$6+7*23)),AND(N(INDEX('İzin Planı'!$I$6:$I$35,33-5))&gt;0,INDEX('İzin Planı'!$I$6:$I$35,33-5)&lt;=('Özet'!$C$6+7*23)+6,INDEX('İzin Planı'!$J$6:$J$35,33-5)&gt;=('Özet'!$C$6+7*23)),AND(N(INDEX('İzin Planı'!$L$6:$L$35,33-5))&gt;0,INDEX('İzin Planı'!$L$6:$L$35,33-5)&lt;=('Özet'!$C$6+7*23)+6,INDEX('İzin Planı'!$M$6:$M$35,33-5)&gt;=('Özet'!$C$6+7*23))),"İ",""))</f>
      </c>
      <c r="AA33" s="13">
        <f>IF(INDEX('İzin Planı'!$C$6:$C$35,33-5)="","",IF(OR(AND(N(INDEX('İzin Planı'!$F$6:$F$35,33-5))&gt;0,INDEX('İzin Planı'!$F$6:$F$35,33-5)&lt;=('Özet'!$C$6+7*24)+6,INDEX('İzin Planı'!$G$6:$G$35,33-5)&gt;=('Özet'!$C$6+7*24)),AND(N(INDEX('İzin Planı'!$I$6:$I$35,33-5))&gt;0,INDEX('İzin Planı'!$I$6:$I$35,33-5)&lt;=('Özet'!$C$6+7*24)+6,INDEX('İzin Planı'!$J$6:$J$35,33-5)&gt;=('Özet'!$C$6+7*24)),AND(N(INDEX('İzin Planı'!$L$6:$L$35,33-5))&gt;0,INDEX('İzin Planı'!$L$6:$L$35,33-5)&lt;=('Özet'!$C$6+7*24)+6,INDEX('İzin Planı'!$M$6:$M$35,33-5)&gt;=('Özet'!$C$6+7*24))),"İ",""))</f>
      </c>
      <c r="AB33" s="13">
        <f>IF(INDEX('İzin Planı'!$C$6:$C$35,33-5)="","",IF(OR(AND(N(INDEX('İzin Planı'!$F$6:$F$35,33-5))&gt;0,INDEX('İzin Planı'!$F$6:$F$35,33-5)&lt;=('Özet'!$C$6+7*25)+6,INDEX('İzin Planı'!$G$6:$G$35,33-5)&gt;=('Özet'!$C$6+7*25)),AND(N(INDEX('İzin Planı'!$I$6:$I$35,33-5))&gt;0,INDEX('İzin Planı'!$I$6:$I$35,33-5)&lt;=('Özet'!$C$6+7*25)+6,INDEX('İzin Planı'!$J$6:$J$35,33-5)&gt;=('Özet'!$C$6+7*25)),AND(N(INDEX('İzin Planı'!$L$6:$L$35,33-5))&gt;0,INDEX('İzin Planı'!$L$6:$L$35,33-5)&lt;=('Özet'!$C$6+7*25)+6,INDEX('İzin Planı'!$M$6:$M$35,33-5)&gt;=('Özet'!$C$6+7*25))),"İ",""))</f>
      </c>
      <c r="AC33" s="13">
        <f>IF(INDEX('İzin Planı'!$C$6:$C$35,33-5)="","",IF(OR(AND(N(INDEX('İzin Planı'!$F$6:$F$35,33-5))&gt;0,INDEX('İzin Planı'!$F$6:$F$35,33-5)&lt;=('Özet'!$C$6+7*26)+6,INDEX('İzin Planı'!$G$6:$G$35,33-5)&gt;=('Özet'!$C$6+7*26)),AND(N(INDEX('İzin Planı'!$I$6:$I$35,33-5))&gt;0,INDEX('İzin Planı'!$I$6:$I$35,33-5)&lt;=('Özet'!$C$6+7*26)+6,INDEX('İzin Planı'!$J$6:$J$35,33-5)&gt;=('Özet'!$C$6+7*26)),AND(N(INDEX('İzin Planı'!$L$6:$L$35,33-5))&gt;0,INDEX('İzin Planı'!$L$6:$L$35,33-5)&lt;=('Özet'!$C$6+7*26)+6,INDEX('İzin Planı'!$M$6:$M$35,33-5)&gt;=('Özet'!$C$6+7*26))),"İ",""))</f>
      </c>
      <c r="AD33" s="13">
        <f>IF(INDEX('İzin Planı'!$C$6:$C$35,33-5)="","",IF(OR(AND(N(INDEX('İzin Planı'!$F$6:$F$35,33-5))&gt;0,INDEX('İzin Planı'!$F$6:$F$35,33-5)&lt;=('Özet'!$C$6+7*27)+6,INDEX('İzin Planı'!$G$6:$G$35,33-5)&gt;=('Özet'!$C$6+7*27)),AND(N(INDEX('İzin Planı'!$I$6:$I$35,33-5))&gt;0,INDEX('İzin Planı'!$I$6:$I$35,33-5)&lt;=('Özet'!$C$6+7*27)+6,INDEX('İzin Planı'!$J$6:$J$35,33-5)&gt;=('Özet'!$C$6+7*27)),AND(N(INDEX('İzin Planı'!$L$6:$L$35,33-5))&gt;0,INDEX('İzin Planı'!$L$6:$L$35,33-5)&lt;=('Özet'!$C$6+7*27)+6,INDEX('İzin Planı'!$M$6:$M$35,33-5)&gt;=('Özet'!$C$6+7*27))),"İ",""))</f>
      </c>
      <c r="AE33" s="13">
        <f>IF(INDEX('İzin Planı'!$C$6:$C$35,33-5)="","",IF(OR(AND(N(INDEX('İzin Planı'!$F$6:$F$35,33-5))&gt;0,INDEX('İzin Planı'!$F$6:$F$35,33-5)&lt;=('Özet'!$C$6+7*28)+6,INDEX('İzin Planı'!$G$6:$G$35,33-5)&gt;=('Özet'!$C$6+7*28)),AND(N(INDEX('İzin Planı'!$I$6:$I$35,33-5))&gt;0,INDEX('İzin Planı'!$I$6:$I$35,33-5)&lt;=('Özet'!$C$6+7*28)+6,INDEX('İzin Planı'!$J$6:$J$35,33-5)&gt;=('Özet'!$C$6+7*28)),AND(N(INDEX('İzin Planı'!$L$6:$L$35,33-5))&gt;0,INDEX('İzin Planı'!$L$6:$L$35,33-5)&lt;=('Özet'!$C$6+7*28)+6,INDEX('İzin Planı'!$M$6:$M$35,33-5)&gt;=('Özet'!$C$6+7*28))),"İ",""))</f>
      </c>
      <c r="AF33" s="13">
        <f>IF(INDEX('İzin Planı'!$C$6:$C$35,33-5)="","",IF(OR(AND(N(INDEX('İzin Planı'!$F$6:$F$35,33-5))&gt;0,INDEX('İzin Planı'!$F$6:$F$35,33-5)&lt;=('Özet'!$C$6+7*29)+6,INDEX('İzin Planı'!$G$6:$G$35,33-5)&gt;=('Özet'!$C$6+7*29)),AND(N(INDEX('İzin Planı'!$I$6:$I$35,33-5))&gt;0,INDEX('İzin Planı'!$I$6:$I$35,33-5)&lt;=('Özet'!$C$6+7*29)+6,INDEX('İzin Planı'!$J$6:$J$35,33-5)&gt;=('Özet'!$C$6+7*29)),AND(N(INDEX('İzin Planı'!$L$6:$L$35,33-5))&gt;0,INDEX('İzin Planı'!$L$6:$L$35,33-5)&lt;=('Özet'!$C$6+7*29)+6,INDEX('İzin Planı'!$M$6:$M$35,33-5)&gt;=('Özet'!$C$6+7*29))),"İ",""))</f>
      </c>
      <c r="AG33" s="13">
        <f>IF(INDEX('İzin Planı'!$C$6:$C$35,33-5)="","",IF(OR(AND(N(INDEX('İzin Planı'!$F$6:$F$35,33-5))&gt;0,INDEX('İzin Planı'!$F$6:$F$35,33-5)&lt;=('Özet'!$C$6+7*30)+6,INDEX('İzin Planı'!$G$6:$G$35,33-5)&gt;=('Özet'!$C$6+7*30)),AND(N(INDEX('İzin Planı'!$I$6:$I$35,33-5))&gt;0,INDEX('İzin Planı'!$I$6:$I$35,33-5)&lt;=('Özet'!$C$6+7*30)+6,INDEX('İzin Planı'!$J$6:$J$35,33-5)&gt;=('Özet'!$C$6+7*30)),AND(N(INDEX('İzin Planı'!$L$6:$L$35,33-5))&gt;0,INDEX('İzin Planı'!$L$6:$L$35,33-5)&lt;=('Özet'!$C$6+7*30)+6,INDEX('İzin Planı'!$M$6:$M$35,33-5)&gt;=('Özet'!$C$6+7*30))),"İ",""))</f>
      </c>
      <c r="AH33" s="13">
        <f>IF(INDEX('İzin Planı'!$C$6:$C$35,33-5)="","",IF(OR(AND(N(INDEX('İzin Planı'!$F$6:$F$35,33-5))&gt;0,INDEX('İzin Planı'!$F$6:$F$35,33-5)&lt;=('Özet'!$C$6+7*31)+6,INDEX('İzin Planı'!$G$6:$G$35,33-5)&gt;=('Özet'!$C$6+7*31)),AND(N(INDEX('İzin Planı'!$I$6:$I$35,33-5))&gt;0,INDEX('İzin Planı'!$I$6:$I$35,33-5)&lt;=('Özet'!$C$6+7*31)+6,INDEX('İzin Planı'!$J$6:$J$35,33-5)&gt;=('Özet'!$C$6+7*31)),AND(N(INDEX('İzin Planı'!$L$6:$L$35,33-5))&gt;0,INDEX('İzin Planı'!$L$6:$L$35,33-5)&lt;=('Özet'!$C$6+7*31)+6,INDEX('İzin Planı'!$M$6:$M$35,33-5)&gt;=('Özet'!$C$6+7*31))),"İ",""))</f>
      </c>
      <c r="AI33" s="13">
        <f>IF(INDEX('İzin Planı'!$C$6:$C$35,33-5)="","",IF(OR(AND(N(INDEX('İzin Planı'!$F$6:$F$35,33-5))&gt;0,INDEX('İzin Planı'!$F$6:$F$35,33-5)&lt;=('Özet'!$C$6+7*32)+6,INDEX('İzin Planı'!$G$6:$G$35,33-5)&gt;=('Özet'!$C$6+7*32)),AND(N(INDEX('İzin Planı'!$I$6:$I$35,33-5))&gt;0,INDEX('İzin Planı'!$I$6:$I$35,33-5)&lt;=('Özet'!$C$6+7*32)+6,INDEX('İzin Planı'!$J$6:$J$35,33-5)&gt;=('Özet'!$C$6+7*32)),AND(N(INDEX('İzin Planı'!$L$6:$L$35,33-5))&gt;0,INDEX('İzin Planı'!$L$6:$L$35,33-5)&lt;=('Özet'!$C$6+7*32)+6,INDEX('İzin Planı'!$M$6:$M$35,33-5)&gt;=('Özet'!$C$6+7*32))),"İ",""))</f>
      </c>
      <c r="AJ33" s="13">
        <f>IF(INDEX('İzin Planı'!$C$6:$C$35,33-5)="","",IF(OR(AND(N(INDEX('İzin Planı'!$F$6:$F$35,33-5))&gt;0,INDEX('İzin Planı'!$F$6:$F$35,33-5)&lt;=('Özet'!$C$6+7*33)+6,INDEX('İzin Planı'!$G$6:$G$35,33-5)&gt;=('Özet'!$C$6+7*33)),AND(N(INDEX('İzin Planı'!$I$6:$I$35,33-5))&gt;0,INDEX('İzin Planı'!$I$6:$I$35,33-5)&lt;=('Özet'!$C$6+7*33)+6,INDEX('İzin Planı'!$J$6:$J$35,33-5)&gt;=('Özet'!$C$6+7*33)),AND(N(INDEX('İzin Planı'!$L$6:$L$35,33-5))&gt;0,INDEX('İzin Planı'!$L$6:$L$35,33-5)&lt;=('Özet'!$C$6+7*33)+6,INDEX('İzin Planı'!$M$6:$M$35,33-5)&gt;=('Özet'!$C$6+7*33))),"İ",""))</f>
      </c>
      <c r="AK33" s="13">
        <f>IF(INDEX('İzin Planı'!$C$6:$C$35,33-5)="","",IF(OR(AND(N(INDEX('İzin Planı'!$F$6:$F$35,33-5))&gt;0,INDEX('İzin Planı'!$F$6:$F$35,33-5)&lt;=('Özet'!$C$6+7*34)+6,INDEX('İzin Planı'!$G$6:$G$35,33-5)&gt;=('Özet'!$C$6+7*34)),AND(N(INDEX('İzin Planı'!$I$6:$I$35,33-5))&gt;0,INDEX('İzin Planı'!$I$6:$I$35,33-5)&lt;=('Özet'!$C$6+7*34)+6,INDEX('İzin Planı'!$J$6:$J$35,33-5)&gt;=('Özet'!$C$6+7*34)),AND(N(INDEX('İzin Planı'!$L$6:$L$35,33-5))&gt;0,INDEX('İzin Planı'!$L$6:$L$35,33-5)&lt;=('Özet'!$C$6+7*34)+6,INDEX('İzin Planı'!$M$6:$M$35,33-5)&gt;=('Özet'!$C$6+7*34))),"İ",""))</f>
      </c>
      <c r="AL33" s="13">
        <f>IF(INDEX('İzin Planı'!$C$6:$C$35,33-5)="","",IF(OR(AND(N(INDEX('İzin Planı'!$F$6:$F$35,33-5))&gt;0,INDEX('İzin Planı'!$F$6:$F$35,33-5)&lt;=('Özet'!$C$6+7*35)+6,INDEX('İzin Planı'!$G$6:$G$35,33-5)&gt;=('Özet'!$C$6+7*35)),AND(N(INDEX('İzin Planı'!$I$6:$I$35,33-5))&gt;0,INDEX('İzin Planı'!$I$6:$I$35,33-5)&lt;=('Özet'!$C$6+7*35)+6,INDEX('İzin Planı'!$J$6:$J$35,33-5)&gt;=('Özet'!$C$6+7*35)),AND(N(INDEX('İzin Planı'!$L$6:$L$35,33-5))&gt;0,INDEX('İzin Planı'!$L$6:$L$35,33-5)&lt;=('Özet'!$C$6+7*35)+6,INDEX('İzin Planı'!$M$6:$M$35,33-5)&gt;=('Özet'!$C$6+7*35))),"İ",""))</f>
      </c>
      <c r="AM33" s="13">
        <f>IF(INDEX('İzin Planı'!$C$6:$C$35,33-5)="","",IF(OR(AND(N(INDEX('İzin Planı'!$F$6:$F$35,33-5))&gt;0,INDEX('İzin Planı'!$F$6:$F$35,33-5)&lt;=('Özet'!$C$6+7*36)+6,INDEX('İzin Planı'!$G$6:$G$35,33-5)&gt;=('Özet'!$C$6+7*36)),AND(N(INDEX('İzin Planı'!$I$6:$I$35,33-5))&gt;0,INDEX('İzin Planı'!$I$6:$I$35,33-5)&lt;=('Özet'!$C$6+7*36)+6,INDEX('İzin Planı'!$J$6:$J$35,33-5)&gt;=('Özet'!$C$6+7*36)),AND(N(INDEX('İzin Planı'!$L$6:$L$35,33-5))&gt;0,INDEX('İzin Planı'!$L$6:$L$35,33-5)&lt;=('Özet'!$C$6+7*36)+6,INDEX('İzin Planı'!$M$6:$M$35,33-5)&gt;=('Özet'!$C$6+7*36))),"İ",""))</f>
      </c>
      <c r="AN33" s="13">
        <f>IF(INDEX('İzin Planı'!$C$6:$C$35,33-5)="","",IF(OR(AND(N(INDEX('İzin Planı'!$F$6:$F$35,33-5))&gt;0,INDEX('İzin Planı'!$F$6:$F$35,33-5)&lt;=('Özet'!$C$6+7*37)+6,INDEX('İzin Planı'!$G$6:$G$35,33-5)&gt;=('Özet'!$C$6+7*37)),AND(N(INDEX('İzin Planı'!$I$6:$I$35,33-5))&gt;0,INDEX('İzin Planı'!$I$6:$I$35,33-5)&lt;=('Özet'!$C$6+7*37)+6,INDEX('İzin Planı'!$J$6:$J$35,33-5)&gt;=('Özet'!$C$6+7*37)),AND(N(INDEX('İzin Planı'!$L$6:$L$35,33-5))&gt;0,INDEX('İzin Planı'!$L$6:$L$35,33-5)&lt;=('Özet'!$C$6+7*37)+6,INDEX('İzin Planı'!$M$6:$M$35,33-5)&gt;=('Özet'!$C$6+7*37))),"İ",""))</f>
      </c>
      <c r="AO33" s="13">
        <f>IF(INDEX('İzin Planı'!$C$6:$C$35,33-5)="","",IF(OR(AND(N(INDEX('İzin Planı'!$F$6:$F$35,33-5))&gt;0,INDEX('İzin Planı'!$F$6:$F$35,33-5)&lt;=('Özet'!$C$6+7*38)+6,INDEX('İzin Planı'!$G$6:$G$35,33-5)&gt;=('Özet'!$C$6+7*38)),AND(N(INDEX('İzin Planı'!$I$6:$I$35,33-5))&gt;0,INDEX('İzin Planı'!$I$6:$I$35,33-5)&lt;=('Özet'!$C$6+7*38)+6,INDEX('İzin Planı'!$J$6:$J$35,33-5)&gt;=('Özet'!$C$6+7*38)),AND(N(INDEX('İzin Planı'!$L$6:$L$35,33-5))&gt;0,INDEX('İzin Planı'!$L$6:$L$35,33-5)&lt;=('Özet'!$C$6+7*38)+6,INDEX('İzin Planı'!$M$6:$M$35,33-5)&gt;=('Özet'!$C$6+7*38))),"İ",""))</f>
      </c>
      <c r="AP33" s="13">
        <f>IF(INDEX('İzin Planı'!$C$6:$C$35,33-5)="","",IF(OR(AND(N(INDEX('İzin Planı'!$F$6:$F$35,33-5))&gt;0,INDEX('İzin Planı'!$F$6:$F$35,33-5)&lt;=('Özet'!$C$6+7*39)+6,INDEX('İzin Planı'!$G$6:$G$35,33-5)&gt;=('Özet'!$C$6+7*39)),AND(N(INDEX('İzin Planı'!$I$6:$I$35,33-5))&gt;0,INDEX('İzin Planı'!$I$6:$I$35,33-5)&lt;=('Özet'!$C$6+7*39)+6,INDEX('İzin Planı'!$J$6:$J$35,33-5)&gt;=('Özet'!$C$6+7*39)),AND(N(INDEX('İzin Planı'!$L$6:$L$35,33-5))&gt;0,INDEX('İzin Planı'!$L$6:$L$35,33-5)&lt;=('Özet'!$C$6+7*39)+6,INDEX('İzin Planı'!$M$6:$M$35,33-5)&gt;=('Özet'!$C$6+7*39))),"İ",""))</f>
      </c>
      <c r="AQ33" s="13">
        <f>IF(INDEX('İzin Planı'!$C$6:$C$35,33-5)="","",IF(OR(AND(N(INDEX('İzin Planı'!$F$6:$F$35,33-5))&gt;0,INDEX('İzin Planı'!$F$6:$F$35,33-5)&lt;=('Özet'!$C$6+7*40)+6,INDEX('İzin Planı'!$G$6:$G$35,33-5)&gt;=('Özet'!$C$6+7*40)),AND(N(INDEX('İzin Planı'!$I$6:$I$35,33-5))&gt;0,INDEX('İzin Planı'!$I$6:$I$35,33-5)&lt;=('Özet'!$C$6+7*40)+6,INDEX('İzin Planı'!$J$6:$J$35,33-5)&gt;=('Özet'!$C$6+7*40)),AND(N(INDEX('İzin Planı'!$L$6:$L$35,33-5))&gt;0,INDEX('İzin Planı'!$L$6:$L$35,33-5)&lt;=('Özet'!$C$6+7*40)+6,INDEX('İzin Planı'!$M$6:$M$35,33-5)&gt;=('Özet'!$C$6+7*40))),"İ",""))</f>
      </c>
      <c r="AR33" s="13">
        <f>IF(INDEX('İzin Planı'!$C$6:$C$35,33-5)="","",IF(OR(AND(N(INDEX('İzin Planı'!$F$6:$F$35,33-5))&gt;0,INDEX('İzin Planı'!$F$6:$F$35,33-5)&lt;=('Özet'!$C$6+7*41)+6,INDEX('İzin Planı'!$G$6:$G$35,33-5)&gt;=('Özet'!$C$6+7*41)),AND(N(INDEX('İzin Planı'!$I$6:$I$35,33-5))&gt;0,INDEX('İzin Planı'!$I$6:$I$35,33-5)&lt;=('Özet'!$C$6+7*41)+6,INDEX('İzin Planı'!$J$6:$J$35,33-5)&gt;=('Özet'!$C$6+7*41)),AND(N(INDEX('İzin Planı'!$L$6:$L$35,33-5))&gt;0,INDEX('İzin Planı'!$L$6:$L$35,33-5)&lt;=('Özet'!$C$6+7*41)+6,INDEX('İzin Planı'!$M$6:$M$35,33-5)&gt;=('Özet'!$C$6+7*41))),"İ",""))</f>
      </c>
      <c r="AS33" s="13">
        <f>IF(INDEX('İzin Planı'!$C$6:$C$35,33-5)="","",IF(OR(AND(N(INDEX('İzin Planı'!$F$6:$F$35,33-5))&gt;0,INDEX('İzin Planı'!$F$6:$F$35,33-5)&lt;=('Özet'!$C$6+7*42)+6,INDEX('İzin Planı'!$G$6:$G$35,33-5)&gt;=('Özet'!$C$6+7*42)),AND(N(INDEX('İzin Planı'!$I$6:$I$35,33-5))&gt;0,INDEX('İzin Planı'!$I$6:$I$35,33-5)&lt;=('Özet'!$C$6+7*42)+6,INDEX('İzin Planı'!$J$6:$J$35,33-5)&gt;=('Özet'!$C$6+7*42)),AND(N(INDEX('İzin Planı'!$L$6:$L$35,33-5))&gt;0,INDEX('İzin Planı'!$L$6:$L$35,33-5)&lt;=('Özet'!$C$6+7*42)+6,INDEX('İzin Planı'!$M$6:$M$35,33-5)&gt;=('Özet'!$C$6+7*42))),"İ",""))</f>
      </c>
      <c r="AT33" s="13">
        <f>IF(INDEX('İzin Planı'!$C$6:$C$35,33-5)="","",IF(OR(AND(N(INDEX('İzin Planı'!$F$6:$F$35,33-5))&gt;0,INDEX('İzin Planı'!$F$6:$F$35,33-5)&lt;=('Özet'!$C$6+7*43)+6,INDEX('İzin Planı'!$G$6:$G$35,33-5)&gt;=('Özet'!$C$6+7*43)),AND(N(INDEX('İzin Planı'!$I$6:$I$35,33-5))&gt;0,INDEX('İzin Planı'!$I$6:$I$35,33-5)&lt;=('Özet'!$C$6+7*43)+6,INDEX('İzin Planı'!$J$6:$J$35,33-5)&gt;=('Özet'!$C$6+7*43)),AND(N(INDEX('İzin Planı'!$L$6:$L$35,33-5))&gt;0,INDEX('İzin Planı'!$L$6:$L$35,33-5)&lt;=('Özet'!$C$6+7*43)+6,INDEX('İzin Planı'!$M$6:$M$35,33-5)&gt;=('Özet'!$C$6+7*43))),"İ",""))</f>
      </c>
      <c r="AU33" s="13">
        <f>IF(INDEX('İzin Planı'!$C$6:$C$35,33-5)="","",IF(OR(AND(N(INDEX('İzin Planı'!$F$6:$F$35,33-5))&gt;0,INDEX('İzin Planı'!$F$6:$F$35,33-5)&lt;=('Özet'!$C$6+7*44)+6,INDEX('İzin Planı'!$G$6:$G$35,33-5)&gt;=('Özet'!$C$6+7*44)),AND(N(INDEX('İzin Planı'!$I$6:$I$35,33-5))&gt;0,INDEX('İzin Planı'!$I$6:$I$35,33-5)&lt;=('Özet'!$C$6+7*44)+6,INDEX('İzin Planı'!$J$6:$J$35,33-5)&gt;=('Özet'!$C$6+7*44)),AND(N(INDEX('İzin Planı'!$L$6:$L$35,33-5))&gt;0,INDEX('İzin Planı'!$L$6:$L$35,33-5)&lt;=('Özet'!$C$6+7*44)+6,INDEX('İzin Planı'!$M$6:$M$35,33-5)&gt;=('Özet'!$C$6+7*44))),"İ",""))</f>
      </c>
      <c r="AV33" s="13">
        <f>IF(INDEX('İzin Planı'!$C$6:$C$35,33-5)="","",IF(OR(AND(N(INDEX('İzin Planı'!$F$6:$F$35,33-5))&gt;0,INDEX('İzin Planı'!$F$6:$F$35,33-5)&lt;=('Özet'!$C$6+7*45)+6,INDEX('İzin Planı'!$G$6:$G$35,33-5)&gt;=('Özet'!$C$6+7*45)),AND(N(INDEX('İzin Planı'!$I$6:$I$35,33-5))&gt;0,INDEX('İzin Planı'!$I$6:$I$35,33-5)&lt;=('Özet'!$C$6+7*45)+6,INDEX('İzin Planı'!$J$6:$J$35,33-5)&gt;=('Özet'!$C$6+7*45)),AND(N(INDEX('İzin Planı'!$L$6:$L$35,33-5))&gt;0,INDEX('İzin Planı'!$L$6:$L$35,33-5)&lt;=('Özet'!$C$6+7*45)+6,INDEX('İzin Planı'!$M$6:$M$35,33-5)&gt;=('Özet'!$C$6+7*45))),"İ",""))</f>
      </c>
      <c r="AW33" s="13">
        <f>IF(INDEX('İzin Planı'!$C$6:$C$35,33-5)="","",IF(OR(AND(N(INDEX('İzin Planı'!$F$6:$F$35,33-5))&gt;0,INDEX('İzin Planı'!$F$6:$F$35,33-5)&lt;=('Özet'!$C$6+7*46)+6,INDEX('İzin Planı'!$G$6:$G$35,33-5)&gt;=('Özet'!$C$6+7*46)),AND(N(INDEX('İzin Planı'!$I$6:$I$35,33-5))&gt;0,INDEX('İzin Planı'!$I$6:$I$35,33-5)&lt;=('Özet'!$C$6+7*46)+6,INDEX('İzin Planı'!$J$6:$J$35,33-5)&gt;=('Özet'!$C$6+7*46)),AND(N(INDEX('İzin Planı'!$L$6:$L$35,33-5))&gt;0,INDEX('İzin Planı'!$L$6:$L$35,33-5)&lt;=('Özet'!$C$6+7*46)+6,INDEX('İzin Planı'!$M$6:$M$35,33-5)&gt;=('Özet'!$C$6+7*46))),"İ",""))</f>
      </c>
      <c r="AX33" s="13">
        <f>IF(INDEX('İzin Planı'!$C$6:$C$35,33-5)="","",IF(OR(AND(N(INDEX('İzin Planı'!$F$6:$F$35,33-5))&gt;0,INDEX('İzin Planı'!$F$6:$F$35,33-5)&lt;=('Özet'!$C$6+7*47)+6,INDEX('İzin Planı'!$G$6:$G$35,33-5)&gt;=('Özet'!$C$6+7*47)),AND(N(INDEX('İzin Planı'!$I$6:$I$35,33-5))&gt;0,INDEX('İzin Planı'!$I$6:$I$35,33-5)&lt;=('Özet'!$C$6+7*47)+6,INDEX('İzin Planı'!$J$6:$J$35,33-5)&gt;=('Özet'!$C$6+7*47)),AND(N(INDEX('İzin Planı'!$L$6:$L$35,33-5))&gt;0,INDEX('İzin Planı'!$L$6:$L$35,33-5)&lt;=('Özet'!$C$6+7*47)+6,INDEX('İzin Planı'!$M$6:$M$35,33-5)&gt;=('Özet'!$C$6+7*47))),"İ",""))</f>
      </c>
      <c r="AY33" s="13">
        <f>IF(INDEX('İzin Planı'!$C$6:$C$35,33-5)="","",IF(OR(AND(N(INDEX('İzin Planı'!$F$6:$F$35,33-5))&gt;0,INDEX('İzin Planı'!$F$6:$F$35,33-5)&lt;=('Özet'!$C$6+7*48)+6,INDEX('İzin Planı'!$G$6:$G$35,33-5)&gt;=('Özet'!$C$6+7*48)),AND(N(INDEX('İzin Planı'!$I$6:$I$35,33-5))&gt;0,INDEX('İzin Planı'!$I$6:$I$35,33-5)&lt;=('Özet'!$C$6+7*48)+6,INDEX('İzin Planı'!$J$6:$J$35,33-5)&gt;=('Özet'!$C$6+7*48)),AND(N(INDEX('İzin Planı'!$L$6:$L$35,33-5))&gt;0,INDEX('İzin Planı'!$L$6:$L$35,33-5)&lt;=('Özet'!$C$6+7*48)+6,INDEX('İzin Planı'!$M$6:$M$35,33-5)&gt;=('Özet'!$C$6+7*48))),"İ",""))</f>
      </c>
      <c r="AZ33" s="13">
        <f>IF(INDEX('İzin Planı'!$C$6:$C$35,33-5)="","",IF(OR(AND(N(INDEX('İzin Planı'!$F$6:$F$35,33-5))&gt;0,INDEX('İzin Planı'!$F$6:$F$35,33-5)&lt;=('Özet'!$C$6+7*49)+6,INDEX('İzin Planı'!$G$6:$G$35,33-5)&gt;=('Özet'!$C$6+7*49)),AND(N(INDEX('İzin Planı'!$I$6:$I$35,33-5))&gt;0,INDEX('İzin Planı'!$I$6:$I$35,33-5)&lt;=('Özet'!$C$6+7*49)+6,INDEX('İzin Planı'!$J$6:$J$35,33-5)&gt;=('Özet'!$C$6+7*49)),AND(N(INDEX('İzin Planı'!$L$6:$L$35,33-5))&gt;0,INDEX('İzin Planı'!$L$6:$L$35,33-5)&lt;=('Özet'!$C$6+7*49)+6,INDEX('İzin Planı'!$M$6:$M$35,33-5)&gt;=('Özet'!$C$6+7*49))),"İ",""))</f>
      </c>
      <c r="BA33" s="13">
        <f>IF(INDEX('İzin Planı'!$C$6:$C$35,33-5)="","",IF(OR(AND(N(INDEX('İzin Planı'!$F$6:$F$35,33-5))&gt;0,INDEX('İzin Planı'!$F$6:$F$35,33-5)&lt;=('Özet'!$C$6+7*50)+6,INDEX('İzin Planı'!$G$6:$G$35,33-5)&gt;=('Özet'!$C$6+7*50)),AND(N(INDEX('İzin Planı'!$I$6:$I$35,33-5))&gt;0,INDEX('İzin Planı'!$I$6:$I$35,33-5)&lt;=('Özet'!$C$6+7*50)+6,INDEX('İzin Planı'!$J$6:$J$35,33-5)&gt;=('Özet'!$C$6+7*50)),AND(N(INDEX('İzin Planı'!$L$6:$L$35,33-5))&gt;0,INDEX('İzin Planı'!$L$6:$L$35,33-5)&lt;=('Özet'!$C$6+7*50)+6,INDEX('İzin Planı'!$M$6:$M$35,33-5)&gt;=('Özet'!$C$6+7*50))),"İ",""))</f>
      </c>
      <c r="BB33" s="13">
        <f>IF(INDEX('İzin Planı'!$C$6:$C$35,33-5)="","",IF(OR(AND(N(INDEX('İzin Planı'!$F$6:$F$35,33-5))&gt;0,INDEX('İzin Planı'!$F$6:$F$35,33-5)&lt;=('Özet'!$C$6+7*51)+6,INDEX('İzin Planı'!$G$6:$G$35,33-5)&gt;=('Özet'!$C$6+7*51)),AND(N(INDEX('İzin Planı'!$I$6:$I$35,33-5))&gt;0,INDEX('İzin Planı'!$I$6:$I$35,33-5)&lt;=('Özet'!$C$6+7*51)+6,INDEX('İzin Planı'!$J$6:$J$35,33-5)&gt;=('Özet'!$C$6+7*51)),AND(N(INDEX('İzin Planı'!$L$6:$L$35,33-5))&gt;0,INDEX('İzin Planı'!$L$6:$L$35,33-5)&lt;=('Özet'!$C$6+7*51)+6,INDEX('İzin Planı'!$M$6:$M$35,33-5)&gt;=('Özet'!$C$6+7*51))),"İ",""))</f>
      </c>
      <c r="BC33" s="13">
        <f>IF(INDEX('İzin Planı'!$C$6:$C$35,33-5)="","",IF(OR(AND(N(INDEX('İzin Planı'!$F$6:$F$35,33-5))&gt;0,INDEX('İzin Planı'!$F$6:$F$35,33-5)&lt;=('Özet'!$C$6+7*52)+6,INDEX('İzin Planı'!$G$6:$G$35,33-5)&gt;=('Özet'!$C$6+7*52)),AND(N(INDEX('İzin Planı'!$I$6:$I$35,33-5))&gt;0,INDEX('İzin Planı'!$I$6:$I$35,33-5)&lt;=('Özet'!$C$6+7*52)+6,INDEX('İzin Planı'!$J$6:$J$35,33-5)&gt;=('Özet'!$C$6+7*52)),AND(N(INDEX('İzin Planı'!$L$6:$L$35,33-5))&gt;0,INDEX('İzin Planı'!$L$6:$L$35,33-5)&lt;=('Özet'!$C$6+7*52)+6,INDEX('İzin Planı'!$M$6:$M$35,33-5)&gt;=('Özet'!$C$6+7*52))),"İ",""))</f>
      </c>
    </row>
    <row r="34" ht="18" customHeight="1" spans="1:55" x14ac:dyDescent="0.25">
      <c r="A34" s="6">
        <v>29</v>
      </c>
      <c r="B34" s="13">
        <f>IF(INDEX('İzin Planı'!$C$6:$C$35,34-5)="","",INDEX('İzin Planı'!$C$6:$C$35,34-5))</f>
      </c>
      <c r="C34" s="13">
        <f>IF(INDEX('İzin Planı'!$C$6:$C$35,34-5)="","",IF(OR(AND(N(INDEX('İzin Planı'!$F$6:$F$35,34-5))&gt;0,INDEX('İzin Planı'!$F$6:$F$35,34-5)&lt;=('Özet'!$C$6+7*0)+6,INDEX('İzin Planı'!$G$6:$G$35,34-5)&gt;=('Özet'!$C$6+7*0)),AND(N(INDEX('İzin Planı'!$I$6:$I$35,34-5))&gt;0,INDEX('İzin Planı'!$I$6:$I$35,34-5)&lt;=('Özet'!$C$6+7*0)+6,INDEX('İzin Planı'!$J$6:$J$35,34-5)&gt;=('Özet'!$C$6+7*0)),AND(N(INDEX('İzin Planı'!$L$6:$L$35,34-5))&gt;0,INDEX('İzin Planı'!$L$6:$L$35,34-5)&lt;=('Özet'!$C$6+7*0)+6,INDEX('İzin Planı'!$M$6:$M$35,34-5)&gt;=('Özet'!$C$6+7*0))),"İ",""))</f>
      </c>
      <c r="D34" s="13">
        <f>IF(INDEX('İzin Planı'!$C$6:$C$35,34-5)="","",IF(OR(AND(N(INDEX('İzin Planı'!$F$6:$F$35,34-5))&gt;0,INDEX('İzin Planı'!$F$6:$F$35,34-5)&lt;=('Özet'!$C$6+7*1)+6,INDEX('İzin Planı'!$G$6:$G$35,34-5)&gt;=('Özet'!$C$6+7*1)),AND(N(INDEX('İzin Planı'!$I$6:$I$35,34-5))&gt;0,INDEX('İzin Planı'!$I$6:$I$35,34-5)&lt;=('Özet'!$C$6+7*1)+6,INDEX('İzin Planı'!$J$6:$J$35,34-5)&gt;=('Özet'!$C$6+7*1)),AND(N(INDEX('İzin Planı'!$L$6:$L$35,34-5))&gt;0,INDEX('İzin Planı'!$L$6:$L$35,34-5)&lt;=('Özet'!$C$6+7*1)+6,INDEX('İzin Planı'!$M$6:$M$35,34-5)&gt;=('Özet'!$C$6+7*1))),"İ",""))</f>
      </c>
      <c r="E34" s="13">
        <f>IF(INDEX('İzin Planı'!$C$6:$C$35,34-5)="","",IF(OR(AND(N(INDEX('İzin Planı'!$F$6:$F$35,34-5))&gt;0,INDEX('İzin Planı'!$F$6:$F$35,34-5)&lt;=('Özet'!$C$6+7*2)+6,INDEX('İzin Planı'!$G$6:$G$35,34-5)&gt;=('Özet'!$C$6+7*2)),AND(N(INDEX('İzin Planı'!$I$6:$I$35,34-5))&gt;0,INDEX('İzin Planı'!$I$6:$I$35,34-5)&lt;=('Özet'!$C$6+7*2)+6,INDEX('İzin Planı'!$J$6:$J$35,34-5)&gt;=('Özet'!$C$6+7*2)),AND(N(INDEX('İzin Planı'!$L$6:$L$35,34-5))&gt;0,INDEX('İzin Planı'!$L$6:$L$35,34-5)&lt;=('Özet'!$C$6+7*2)+6,INDEX('İzin Planı'!$M$6:$M$35,34-5)&gt;=('Özet'!$C$6+7*2))),"İ",""))</f>
      </c>
      <c r="F34" s="13">
        <f>IF(INDEX('İzin Planı'!$C$6:$C$35,34-5)="","",IF(OR(AND(N(INDEX('İzin Planı'!$F$6:$F$35,34-5))&gt;0,INDEX('İzin Planı'!$F$6:$F$35,34-5)&lt;=('Özet'!$C$6+7*3)+6,INDEX('İzin Planı'!$G$6:$G$35,34-5)&gt;=('Özet'!$C$6+7*3)),AND(N(INDEX('İzin Planı'!$I$6:$I$35,34-5))&gt;0,INDEX('İzin Planı'!$I$6:$I$35,34-5)&lt;=('Özet'!$C$6+7*3)+6,INDEX('İzin Planı'!$J$6:$J$35,34-5)&gt;=('Özet'!$C$6+7*3)),AND(N(INDEX('İzin Planı'!$L$6:$L$35,34-5))&gt;0,INDEX('İzin Planı'!$L$6:$L$35,34-5)&lt;=('Özet'!$C$6+7*3)+6,INDEX('İzin Planı'!$M$6:$M$35,34-5)&gt;=('Özet'!$C$6+7*3))),"İ",""))</f>
      </c>
      <c r="G34" s="13">
        <f>IF(INDEX('İzin Planı'!$C$6:$C$35,34-5)="","",IF(OR(AND(N(INDEX('İzin Planı'!$F$6:$F$35,34-5))&gt;0,INDEX('İzin Planı'!$F$6:$F$35,34-5)&lt;=('Özet'!$C$6+7*4)+6,INDEX('İzin Planı'!$G$6:$G$35,34-5)&gt;=('Özet'!$C$6+7*4)),AND(N(INDEX('İzin Planı'!$I$6:$I$35,34-5))&gt;0,INDEX('İzin Planı'!$I$6:$I$35,34-5)&lt;=('Özet'!$C$6+7*4)+6,INDEX('İzin Planı'!$J$6:$J$35,34-5)&gt;=('Özet'!$C$6+7*4)),AND(N(INDEX('İzin Planı'!$L$6:$L$35,34-5))&gt;0,INDEX('İzin Planı'!$L$6:$L$35,34-5)&lt;=('Özet'!$C$6+7*4)+6,INDEX('İzin Planı'!$M$6:$M$35,34-5)&gt;=('Özet'!$C$6+7*4))),"İ",""))</f>
      </c>
      <c r="H34" s="13">
        <f>IF(INDEX('İzin Planı'!$C$6:$C$35,34-5)="","",IF(OR(AND(N(INDEX('İzin Planı'!$F$6:$F$35,34-5))&gt;0,INDEX('İzin Planı'!$F$6:$F$35,34-5)&lt;=('Özet'!$C$6+7*5)+6,INDEX('İzin Planı'!$G$6:$G$35,34-5)&gt;=('Özet'!$C$6+7*5)),AND(N(INDEX('İzin Planı'!$I$6:$I$35,34-5))&gt;0,INDEX('İzin Planı'!$I$6:$I$35,34-5)&lt;=('Özet'!$C$6+7*5)+6,INDEX('İzin Planı'!$J$6:$J$35,34-5)&gt;=('Özet'!$C$6+7*5)),AND(N(INDEX('İzin Planı'!$L$6:$L$35,34-5))&gt;0,INDEX('İzin Planı'!$L$6:$L$35,34-5)&lt;=('Özet'!$C$6+7*5)+6,INDEX('İzin Planı'!$M$6:$M$35,34-5)&gt;=('Özet'!$C$6+7*5))),"İ",""))</f>
      </c>
      <c r="I34" s="13">
        <f>IF(INDEX('İzin Planı'!$C$6:$C$35,34-5)="","",IF(OR(AND(N(INDEX('İzin Planı'!$F$6:$F$35,34-5))&gt;0,INDEX('İzin Planı'!$F$6:$F$35,34-5)&lt;=('Özet'!$C$6+7*6)+6,INDEX('İzin Planı'!$G$6:$G$35,34-5)&gt;=('Özet'!$C$6+7*6)),AND(N(INDEX('İzin Planı'!$I$6:$I$35,34-5))&gt;0,INDEX('İzin Planı'!$I$6:$I$35,34-5)&lt;=('Özet'!$C$6+7*6)+6,INDEX('İzin Planı'!$J$6:$J$35,34-5)&gt;=('Özet'!$C$6+7*6)),AND(N(INDEX('İzin Planı'!$L$6:$L$35,34-5))&gt;0,INDEX('İzin Planı'!$L$6:$L$35,34-5)&lt;=('Özet'!$C$6+7*6)+6,INDEX('İzin Planı'!$M$6:$M$35,34-5)&gt;=('Özet'!$C$6+7*6))),"İ",""))</f>
      </c>
      <c r="J34" s="13">
        <f>IF(INDEX('İzin Planı'!$C$6:$C$35,34-5)="","",IF(OR(AND(N(INDEX('İzin Planı'!$F$6:$F$35,34-5))&gt;0,INDEX('İzin Planı'!$F$6:$F$35,34-5)&lt;=('Özet'!$C$6+7*7)+6,INDEX('İzin Planı'!$G$6:$G$35,34-5)&gt;=('Özet'!$C$6+7*7)),AND(N(INDEX('İzin Planı'!$I$6:$I$35,34-5))&gt;0,INDEX('İzin Planı'!$I$6:$I$35,34-5)&lt;=('Özet'!$C$6+7*7)+6,INDEX('İzin Planı'!$J$6:$J$35,34-5)&gt;=('Özet'!$C$6+7*7)),AND(N(INDEX('İzin Planı'!$L$6:$L$35,34-5))&gt;0,INDEX('İzin Planı'!$L$6:$L$35,34-5)&lt;=('Özet'!$C$6+7*7)+6,INDEX('İzin Planı'!$M$6:$M$35,34-5)&gt;=('Özet'!$C$6+7*7))),"İ",""))</f>
      </c>
      <c r="K34" s="13">
        <f>IF(INDEX('İzin Planı'!$C$6:$C$35,34-5)="","",IF(OR(AND(N(INDEX('İzin Planı'!$F$6:$F$35,34-5))&gt;0,INDEX('İzin Planı'!$F$6:$F$35,34-5)&lt;=('Özet'!$C$6+7*8)+6,INDEX('İzin Planı'!$G$6:$G$35,34-5)&gt;=('Özet'!$C$6+7*8)),AND(N(INDEX('İzin Planı'!$I$6:$I$35,34-5))&gt;0,INDEX('İzin Planı'!$I$6:$I$35,34-5)&lt;=('Özet'!$C$6+7*8)+6,INDEX('İzin Planı'!$J$6:$J$35,34-5)&gt;=('Özet'!$C$6+7*8)),AND(N(INDEX('İzin Planı'!$L$6:$L$35,34-5))&gt;0,INDEX('İzin Planı'!$L$6:$L$35,34-5)&lt;=('Özet'!$C$6+7*8)+6,INDEX('İzin Planı'!$M$6:$M$35,34-5)&gt;=('Özet'!$C$6+7*8))),"İ",""))</f>
      </c>
      <c r="L34" s="13">
        <f>IF(INDEX('İzin Planı'!$C$6:$C$35,34-5)="","",IF(OR(AND(N(INDEX('İzin Planı'!$F$6:$F$35,34-5))&gt;0,INDEX('İzin Planı'!$F$6:$F$35,34-5)&lt;=('Özet'!$C$6+7*9)+6,INDEX('İzin Planı'!$G$6:$G$35,34-5)&gt;=('Özet'!$C$6+7*9)),AND(N(INDEX('İzin Planı'!$I$6:$I$35,34-5))&gt;0,INDEX('İzin Planı'!$I$6:$I$35,34-5)&lt;=('Özet'!$C$6+7*9)+6,INDEX('İzin Planı'!$J$6:$J$35,34-5)&gt;=('Özet'!$C$6+7*9)),AND(N(INDEX('İzin Planı'!$L$6:$L$35,34-5))&gt;0,INDEX('İzin Planı'!$L$6:$L$35,34-5)&lt;=('Özet'!$C$6+7*9)+6,INDEX('İzin Planı'!$M$6:$M$35,34-5)&gt;=('Özet'!$C$6+7*9))),"İ",""))</f>
      </c>
      <c r="M34" s="13">
        <f>IF(INDEX('İzin Planı'!$C$6:$C$35,34-5)="","",IF(OR(AND(N(INDEX('İzin Planı'!$F$6:$F$35,34-5))&gt;0,INDEX('İzin Planı'!$F$6:$F$35,34-5)&lt;=('Özet'!$C$6+7*10)+6,INDEX('İzin Planı'!$G$6:$G$35,34-5)&gt;=('Özet'!$C$6+7*10)),AND(N(INDEX('İzin Planı'!$I$6:$I$35,34-5))&gt;0,INDEX('İzin Planı'!$I$6:$I$35,34-5)&lt;=('Özet'!$C$6+7*10)+6,INDEX('İzin Planı'!$J$6:$J$35,34-5)&gt;=('Özet'!$C$6+7*10)),AND(N(INDEX('İzin Planı'!$L$6:$L$35,34-5))&gt;0,INDEX('İzin Planı'!$L$6:$L$35,34-5)&lt;=('Özet'!$C$6+7*10)+6,INDEX('İzin Planı'!$M$6:$M$35,34-5)&gt;=('Özet'!$C$6+7*10))),"İ",""))</f>
      </c>
      <c r="N34" s="13">
        <f>IF(INDEX('İzin Planı'!$C$6:$C$35,34-5)="","",IF(OR(AND(N(INDEX('İzin Planı'!$F$6:$F$35,34-5))&gt;0,INDEX('İzin Planı'!$F$6:$F$35,34-5)&lt;=('Özet'!$C$6+7*11)+6,INDEX('İzin Planı'!$G$6:$G$35,34-5)&gt;=('Özet'!$C$6+7*11)),AND(N(INDEX('İzin Planı'!$I$6:$I$35,34-5))&gt;0,INDEX('İzin Planı'!$I$6:$I$35,34-5)&lt;=('Özet'!$C$6+7*11)+6,INDEX('İzin Planı'!$J$6:$J$35,34-5)&gt;=('Özet'!$C$6+7*11)),AND(N(INDEX('İzin Planı'!$L$6:$L$35,34-5))&gt;0,INDEX('İzin Planı'!$L$6:$L$35,34-5)&lt;=('Özet'!$C$6+7*11)+6,INDEX('İzin Planı'!$M$6:$M$35,34-5)&gt;=('Özet'!$C$6+7*11))),"İ",""))</f>
      </c>
      <c r="O34" s="13">
        <f>IF(INDEX('İzin Planı'!$C$6:$C$35,34-5)="","",IF(OR(AND(N(INDEX('İzin Planı'!$F$6:$F$35,34-5))&gt;0,INDEX('İzin Planı'!$F$6:$F$35,34-5)&lt;=('Özet'!$C$6+7*12)+6,INDEX('İzin Planı'!$G$6:$G$35,34-5)&gt;=('Özet'!$C$6+7*12)),AND(N(INDEX('İzin Planı'!$I$6:$I$35,34-5))&gt;0,INDEX('İzin Planı'!$I$6:$I$35,34-5)&lt;=('Özet'!$C$6+7*12)+6,INDEX('İzin Planı'!$J$6:$J$35,34-5)&gt;=('Özet'!$C$6+7*12)),AND(N(INDEX('İzin Planı'!$L$6:$L$35,34-5))&gt;0,INDEX('İzin Planı'!$L$6:$L$35,34-5)&lt;=('Özet'!$C$6+7*12)+6,INDEX('İzin Planı'!$M$6:$M$35,34-5)&gt;=('Özet'!$C$6+7*12))),"İ",""))</f>
      </c>
      <c r="P34" s="13">
        <f>IF(INDEX('İzin Planı'!$C$6:$C$35,34-5)="","",IF(OR(AND(N(INDEX('İzin Planı'!$F$6:$F$35,34-5))&gt;0,INDEX('İzin Planı'!$F$6:$F$35,34-5)&lt;=('Özet'!$C$6+7*13)+6,INDEX('İzin Planı'!$G$6:$G$35,34-5)&gt;=('Özet'!$C$6+7*13)),AND(N(INDEX('İzin Planı'!$I$6:$I$35,34-5))&gt;0,INDEX('İzin Planı'!$I$6:$I$35,34-5)&lt;=('Özet'!$C$6+7*13)+6,INDEX('İzin Planı'!$J$6:$J$35,34-5)&gt;=('Özet'!$C$6+7*13)),AND(N(INDEX('İzin Planı'!$L$6:$L$35,34-5))&gt;0,INDEX('İzin Planı'!$L$6:$L$35,34-5)&lt;=('Özet'!$C$6+7*13)+6,INDEX('İzin Planı'!$M$6:$M$35,34-5)&gt;=('Özet'!$C$6+7*13))),"İ",""))</f>
      </c>
      <c r="Q34" s="13">
        <f>IF(INDEX('İzin Planı'!$C$6:$C$35,34-5)="","",IF(OR(AND(N(INDEX('İzin Planı'!$F$6:$F$35,34-5))&gt;0,INDEX('İzin Planı'!$F$6:$F$35,34-5)&lt;=('Özet'!$C$6+7*14)+6,INDEX('İzin Planı'!$G$6:$G$35,34-5)&gt;=('Özet'!$C$6+7*14)),AND(N(INDEX('İzin Planı'!$I$6:$I$35,34-5))&gt;0,INDEX('İzin Planı'!$I$6:$I$35,34-5)&lt;=('Özet'!$C$6+7*14)+6,INDEX('İzin Planı'!$J$6:$J$35,34-5)&gt;=('Özet'!$C$6+7*14)),AND(N(INDEX('İzin Planı'!$L$6:$L$35,34-5))&gt;0,INDEX('İzin Planı'!$L$6:$L$35,34-5)&lt;=('Özet'!$C$6+7*14)+6,INDEX('İzin Planı'!$M$6:$M$35,34-5)&gt;=('Özet'!$C$6+7*14))),"İ",""))</f>
      </c>
      <c r="R34" s="13">
        <f>IF(INDEX('İzin Planı'!$C$6:$C$35,34-5)="","",IF(OR(AND(N(INDEX('İzin Planı'!$F$6:$F$35,34-5))&gt;0,INDEX('İzin Planı'!$F$6:$F$35,34-5)&lt;=('Özet'!$C$6+7*15)+6,INDEX('İzin Planı'!$G$6:$G$35,34-5)&gt;=('Özet'!$C$6+7*15)),AND(N(INDEX('İzin Planı'!$I$6:$I$35,34-5))&gt;0,INDEX('İzin Planı'!$I$6:$I$35,34-5)&lt;=('Özet'!$C$6+7*15)+6,INDEX('İzin Planı'!$J$6:$J$35,34-5)&gt;=('Özet'!$C$6+7*15)),AND(N(INDEX('İzin Planı'!$L$6:$L$35,34-5))&gt;0,INDEX('İzin Planı'!$L$6:$L$35,34-5)&lt;=('Özet'!$C$6+7*15)+6,INDEX('İzin Planı'!$M$6:$M$35,34-5)&gt;=('Özet'!$C$6+7*15))),"İ",""))</f>
      </c>
      <c r="S34" s="13">
        <f>IF(INDEX('İzin Planı'!$C$6:$C$35,34-5)="","",IF(OR(AND(N(INDEX('İzin Planı'!$F$6:$F$35,34-5))&gt;0,INDEX('İzin Planı'!$F$6:$F$35,34-5)&lt;=('Özet'!$C$6+7*16)+6,INDEX('İzin Planı'!$G$6:$G$35,34-5)&gt;=('Özet'!$C$6+7*16)),AND(N(INDEX('İzin Planı'!$I$6:$I$35,34-5))&gt;0,INDEX('İzin Planı'!$I$6:$I$35,34-5)&lt;=('Özet'!$C$6+7*16)+6,INDEX('İzin Planı'!$J$6:$J$35,34-5)&gt;=('Özet'!$C$6+7*16)),AND(N(INDEX('İzin Planı'!$L$6:$L$35,34-5))&gt;0,INDEX('İzin Planı'!$L$6:$L$35,34-5)&lt;=('Özet'!$C$6+7*16)+6,INDEX('İzin Planı'!$M$6:$M$35,34-5)&gt;=('Özet'!$C$6+7*16))),"İ",""))</f>
      </c>
      <c r="T34" s="13">
        <f>IF(INDEX('İzin Planı'!$C$6:$C$35,34-5)="","",IF(OR(AND(N(INDEX('İzin Planı'!$F$6:$F$35,34-5))&gt;0,INDEX('İzin Planı'!$F$6:$F$35,34-5)&lt;=('Özet'!$C$6+7*17)+6,INDEX('İzin Planı'!$G$6:$G$35,34-5)&gt;=('Özet'!$C$6+7*17)),AND(N(INDEX('İzin Planı'!$I$6:$I$35,34-5))&gt;0,INDEX('İzin Planı'!$I$6:$I$35,34-5)&lt;=('Özet'!$C$6+7*17)+6,INDEX('İzin Planı'!$J$6:$J$35,34-5)&gt;=('Özet'!$C$6+7*17)),AND(N(INDEX('İzin Planı'!$L$6:$L$35,34-5))&gt;0,INDEX('İzin Planı'!$L$6:$L$35,34-5)&lt;=('Özet'!$C$6+7*17)+6,INDEX('İzin Planı'!$M$6:$M$35,34-5)&gt;=('Özet'!$C$6+7*17))),"İ",""))</f>
      </c>
      <c r="U34" s="13">
        <f>IF(INDEX('İzin Planı'!$C$6:$C$35,34-5)="","",IF(OR(AND(N(INDEX('İzin Planı'!$F$6:$F$35,34-5))&gt;0,INDEX('İzin Planı'!$F$6:$F$35,34-5)&lt;=('Özet'!$C$6+7*18)+6,INDEX('İzin Planı'!$G$6:$G$35,34-5)&gt;=('Özet'!$C$6+7*18)),AND(N(INDEX('İzin Planı'!$I$6:$I$35,34-5))&gt;0,INDEX('İzin Planı'!$I$6:$I$35,34-5)&lt;=('Özet'!$C$6+7*18)+6,INDEX('İzin Planı'!$J$6:$J$35,34-5)&gt;=('Özet'!$C$6+7*18)),AND(N(INDEX('İzin Planı'!$L$6:$L$35,34-5))&gt;0,INDEX('İzin Planı'!$L$6:$L$35,34-5)&lt;=('Özet'!$C$6+7*18)+6,INDEX('İzin Planı'!$M$6:$M$35,34-5)&gt;=('Özet'!$C$6+7*18))),"İ",""))</f>
      </c>
      <c r="V34" s="13">
        <f>IF(INDEX('İzin Planı'!$C$6:$C$35,34-5)="","",IF(OR(AND(N(INDEX('İzin Planı'!$F$6:$F$35,34-5))&gt;0,INDEX('İzin Planı'!$F$6:$F$35,34-5)&lt;=('Özet'!$C$6+7*19)+6,INDEX('İzin Planı'!$G$6:$G$35,34-5)&gt;=('Özet'!$C$6+7*19)),AND(N(INDEX('İzin Planı'!$I$6:$I$35,34-5))&gt;0,INDEX('İzin Planı'!$I$6:$I$35,34-5)&lt;=('Özet'!$C$6+7*19)+6,INDEX('İzin Planı'!$J$6:$J$35,34-5)&gt;=('Özet'!$C$6+7*19)),AND(N(INDEX('İzin Planı'!$L$6:$L$35,34-5))&gt;0,INDEX('İzin Planı'!$L$6:$L$35,34-5)&lt;=('Özet'!$C$6+7*19)+6,INDEX('İzin Planı'!$M$6:$M$35,34-5)&gt;=('Özet'!$C$6+7*19))),"İ",""))</f>
      </c>
      <c r="W34" s="13">
        <f>IF(INDEX('İzin Planı'!$C$6:$C$35,34-5)="","",IF(OR(AND(N(INDEX('İzin Planı'!$F$6:$F$35,34-5))&gt;0,INDEX('İzin Planı'!$F$6:$F$35,34-5)&lt;=('Özet'!$C$6+7*20)+6,INDEX('İzin Planı'!$G$6:$G$35,34-5)&gt;=('Özet'!$C$6+7*20)),AND(N(INDEX('İzin Planı'!$I$6:$I$35,34-5))&gt;0,INDEX('İzin Planı'!$I$6:$I$35,34-5)&lt;=('Özet'!$C$6+7*20)+6,INDEX('İzin Planı'!$J$6:$J$35,34-5)&gt;=('Özet'!$C$6+7*20)),AND(N(INDEX('İzin Planı'!$L$6:$L$35,34-5))&gt;0,INDEX('İzin Planı'!$L$6:$L$35,34-5)&lt;=('Özet'!$C$6+7*20)+6,INDEX('İzin Planı'!$M$6:$M$35,34-5)&gt;=('Özet'!$C$6+7*20))),"İ",""))</f>
      </c>
      <c r="X34" s="13">
        <f>IF(INDEX('İzin Planı'!$C$6:$C$35,34-5)="","",IF(OR(AND(N(INDEX('İzin Planı'!$F$6:$F$35,34-5))&gt;0,INDEX('İzin Planı'!$F$6:$F$35,34-5)&lt;=('Özet'!$C$6+7*21)+6,INDEX('İzin Planı'!$G$6:$G$35,34-5)&gt;=('Özet'!$C$6+7*21)),AND(N(INDEX('İzin Planı'!$I$6:$I$35,34-5))&gt;0,INDEX('İzin Planı'!$I$6:$I$35,34-5)&lt;=('Özet'!$C$6+7*21)+6,INDEX('İzin Planı'!$J$6:$J$35,34-5)&gt;=('Özet'!$C$6+7*21)),AND(N(INDEX('İzin Planı'!$L$6:$L$35,34-5))&gt;0,INDEX('İzin Planı'!$L$6:$L$35,34-5)&lt;=('Özet'!$C$6+7*21)+6,INDEX('İzin Planı'!$M$6:$M$35,34-5)&gt;=('Özet'!$C$6+7*21))),"İ",""))</f>
      </c>
      <c r="Y34" s="13">
        <f>IF(INDEX('İzin Planı'!$C$6:$C$35,34-5)="","",IF(OR(AND(N(INDEX('İzin Planı'!$F$6:$F$35,34-5))&gt;0,INDEX('İzin Planı'!$F$6:$F$35,34-5)&lt;=('Özet'!$C$6+7*22)+6,INDEX('İzin Planı'!$G$6:$G$35,34-5)&gt;=('Özet'!$C$6+7*22)),AND(N(INDEX('İzin Planı'!$I$6:$I$35,34-5))&gt;0,INDEX('İzin Planı'!$I$6:$I$35,34-5)&lt;=('Özet'!$C$6+7*22)+6,INDEX('İzin Planı'!$J$6:$J$35,34-5)&gt;=('Özet'!$C$6+7*22)),AND(N(INDEX('İzin Planı'!$L$6:$L$35,34-5))&gt;0,INDEX('İzin Planı'!$L$6:$L$35,34-5)&lt;=('Özet'!$C$6+7*22)+6,INDEX('İzin Planı'!$M$6:$M$35,34-5)&gt;=('Özet'!$C$6+7*22))),"İ",""))</f>
      </c>
      <c r="Z34" s="13">
        <f>IF(INDEX('İzin Planı'!$C$6:$C$35,34-5)="","",IF(OR(AND(N(INDEX('İzin Planı'!$F$6:$F$35,34-5))&gt;0,INDEX('İzin Planı'!$F$6:$F$35,34-5)&lt;=('Özet'!$C$6+7*23)+6,INDEX('İzin Planı'!$G$6:$G$35,34-5)&gt;=('Özet'!$C$6+7*23)),AND(N(INDEX('İzin Planı'!$I$6:$I$35,34-5))&gt;0,INDEX('İzin Planı'!$I$6:$I$35,34-5)&lt;=('Özet'!$C$6+7*23)+6,INDEX('İzin Planı'!$J$6:$J$35,34-5)&gt;=('Özet'!$C$6+7*23)),AND(N(INDEX('İzin Planı'!$L$6:$L$35,34-5))&gt;0,INDEX('İzin Planı'!$L$6:$L$35,34-5)&lt;=('Özet'!$C$6+7*23)+6,INDEX('İzin Planı'!$M$6:$M$35,34-5)&gt;=('Özet'!$C$6+7*23))),"İ",""))</f>
      </c>
      <c r="AA34" s="13">
        <f>IF(INDEX('İzin Planı'!$C$6:$C$35,34-5)="","",IF(OR(AND(N(INDEX('İzin Planı'!$F$6:$F$35,34-5))&gt;0,INDEX('İzin Planı'!$F$6:$F$35,34-5)&lt;=('Özet'!$C$6+7*24)+6,INDEX('İzin Planı'!$G$6:$G$35,34-5)&gt;=('Özet'!$C$6+7*24)),AND(N(INDEX('İzin Planı'!$I$6:$I$35,34-5))&gt;0,INDEX('İzin Planı'!$I$6:$I$35,34-5)&lt;=('Özet'!$C$6+7*24)+6,INDEX('İzin Planı'!$J$6:$J$35,34-5)&gt;=('Özet'!$C$6+7*24)),AND(N(INDEX('İzin Planı'!$L$6:$L$35,34-5))&gt;0,INDEX('İzin Planı'!$L$6:$L$35,34-5)&lt;=('Özet'!$C$6+7*24)+6,INDEX('İzin Planı'!$M$6:$M$35,34-5)&gt;=('Özet'!$C$6+7*24))),"İ",""))</f>
      </c>
      <c r="AB34" s="13">
        <f>IF(INDEX('İzin Planı'!$C$6:$C$35,34-5)="","",IF(OR(AND(N(INDEX('İzin Planı'!$F$6:$F$35,34-5))&gt;0,INDEX('İzin Planı'!$F$6:$F$35,34-5)&lt;=('Özet'!$C$6+7*25)+6,INDEX('İzin Planı'!$G$6:$G$35,34-5)&gt;=('Özet'!$C$6+7*25)),AND(N(INDEX('İzin Planı'!$I$6:$I$35,34-5))&gt;0,INDEX('İzin Planı'!$I$6:$I$35,34-5)&lt;=('Özet'!$C$6+7*25)+6,INDEX('İzin Planı'!$J$6:$J$35,34-5)&gt;=('Özet'!$C$6+7*25)),AND(N(INDEX('İzin Planı'!$L$6:$L$35,34-5))&gt;0,INDEX('İzin Planı'!$L$6:$L$35,34-5)&lt;=('Özet'!$C$6+7*25)+6,INDEX('İzin Planı'!$M$6:$M$35,34-5)&gt;=('Özet'!$C$6+7*25))),"İ",""))</f>
      </c>
      <c r="AC34" s="13">
        <f>IF(INDEX('İzin Planı'!$C$6:$C$35,34-5)="","",IF(OR(AND(N(INDEX('İzin Planı'!$F$6:$F$35,34-5))&gt;0,INDEX('İzin Planı'!$F$6:$F$35,34-5)&lt;=('Özet'!$C$6+7*26)+6,INDEX('İzin Planı'!$G$6:$G$35,34-5)&gt;=('Özet'!$C$6+7*26)),AND(N(INDEX('İzin Planı'!$I$6:$I$35,34-5))&gt;0,INDEX('İzin Planı'!$I$6:$I$35,34-5)&lt;=('Özet'!$C$6+7*26)+6,INDEX('İzin Planı'!$J$6:$J$35,34-5)&gt;=('Özet'!$C$6+7*26)),AND(N(INDEX('İzin Planı'!$L$6:$L$35,34-5))&gt;0,INDEX('İzin Planı'!$L$6:$L$35,34-5)&lt;=('Özet'!$C$6+7*26)+6,INDEX('İzin Planı'!$M$6:$M$35,34-5)&gt;=('Özet'!$C$6+7*26))),"İ",""))</f>
      </c>
      <c r="AD34" s="13">
        <f>IF(INDEX('İzin Planı'!$C$6:$C$35,34-5)="","",IF(OR(AND(N(INDEX('İzin Planı'!$F$6:$F$35,34-5))&gt;0,INDEX('İzin Planı'!$F$6:$F$35,34-5)&lt;=('Özet'!$C$6+7*27)+6,INDEX('İzin Planı'!$G$6:$G$35,34-5)&gt;=('Özet'!$C$6+7*27)),AND(N(INDEX('İzin Planı'!$I$6:$I$35,34-5))&gt;0,INDEX('İzin Planı'!$I$6:$I$35,34-5)&lt;=('Özet'!$C$6+7*27)+6,INDEX('İzin Planı'!$J$6:$J$35,34-5)&gt;=('Özet'!$C$6+7*27)),AND(N(INDEX('İzin Planı'!$L$6:$L$35,34-5))&gt;0,INDEX('İzin Planı'!$L$6:$L$35,34-5)&lt;=('Özet'!$C$6+7*27)+6,INDEX('İzin Planı'!$M$6:$M$35,34-5)&gt;=('Özet'!$C$6+7*27))),"İ",""))</f>
      </c>
      <c r="AE34" s="13">
        <f>IF(INDEX('İzin Planı'!$C$6:$C$35,34-5)="","",IF(OR(AND(N(INDEX('İzin Planı'!$F$6:$F$35,34-5))&gt;0,INDEX('İzin Planı'!$F$6:$F$35,34-5)&lt;=('Özet'!$C$6+7*28)+6,INDEX('İzin Planı'!$G$6:$G$35,34-5)&gt;=('Özet'!$C$6+7*28)),AND(N(INDEX('İzin Planı'!$I$6:$I$35,34-5))&gt;0,INDEX('İzin Planı'!$I$6:$I$35,34-5)&lt;=('Özet'!$C$6+7*28)+6,INDEX('İzin Planı'!$J$6:$J$35,34-5)&gt;=('Özet'!$C$6+7*28)),AND(N(INDEX('İzin Planı'!$L$6:$L$35,34-5))&gt;0,INDEX('İzin Planı'!$L$6:$L$35,34-5)&lt;=('Özet'!$C$6+7*28)+6,INDEX('İzin Planı'!$M$6:$M$35,34-5)&gt;=('Özet'!$C$6+7*28))),"İ",""))</f>
      </c>
      <c r="AF34" s="13">
        <f>IF(INDEX('İzin Planı'!$C$6:$C$35,34-5)="","",IF(OR(AND(N(INDEX('İzin Planı'!$F$6:$F$35,34-5))&gt;0,INDEX('İzin Planı'!$F$6:$F$35,34-5)&lt;=('Özet'!$C$6+7*29)+6,INDEX('İzin Planı'!$G$6:$G$35,34-5)&gt;=('Özet'!$C$6+7*29)),AND(N(INDEX('İzin Planı'!$I$6:$I$35,34-5))&gt;0,INDEX('İzin Planı'!$I$6:$I$35,34-5)&lt;=('Özet'!$C$6+7*29)+6,INDEX('İzin Planı'!$J$6:$J$35,34-5)&gt;=('Özet'!$C$6+7*29)),AND(N(INDEX('İzin Planı'!$L$6:$L$35,34-5))&gt;0,INDEX('İzin Planı'!$L$6:$L$35,34-5)&lt;=('Özet'!$C$6+7*29)+6,INDEX('İzin Planı'!$M$6:$M$35,34-5)&gt;=('Özet'!$C$6+7*29))),"İ",""))</f>
      </c>
      <c r="AG34" s="13">
        <f>IF(INDEX('İzin Planı'!$C$6:$C$35,34-5)="","",IF(OR(AND(N(INDEX('İzin Planı'!$F$6:$F$35,34-5))&gt;0,INDEX('İzin Planı'!$F$6:$F$35,34-5)&lt;=('Özet'!$C$6+7*30)+6,INDEX('İzin Planı'!$G$6:$G$35,34-5)&gt;=('Özet'!$C$6+7*30)),AND(N(INDEX('İzin Planı'!$I$6:$I$35,34-5))&gt;0,INDEX('İzin Planı'!$I$6:$I$35,34-5)&lt;=('Özet'!$C$6+7*30)+6,INDEX('İzin Planı'!$J$6:$J$35,34-5)&gt;=('Özet'!$C$6+7*30)),AND(N(INDEX('İzin Planı'!$L$6:$L$35,34-5))&gt;0,INDEX('İzin Planı'!$L$6:$L$35,34-5)&lt;=('Özet'!$C$6+7*30)+6,INDEX('İzin Planı'!$M$6:$M$35,34-5)&gt;=('Özet'!$C$6+7*30))),"İ",""))</f>
      </c>
      <c r="AH34" s="13">
        <f>IF(INDEX('İzin Planı'!$C$6:$C$35,34-5)="","",IF(OR(AND(N(INDEX('İzin Planı'!$F$6:$F$35,34-5))&gt;0,INDEX('İzin Planı'!$F$6:$F$35,34-5)&lt;=('Özet'!$C$6+7*31)+6,INDEX('İzin Planı'!$G$6:$G$35,34-5)&gt;=('Özet'!$C$6+7*31)),AND(N(INDEX('İzin Planı'!$I$6:$I$35,34-5))&gt;0,INDEX('İzin Planı'!$I$6:$I$35,34-5)&lt;=('Özet'!$C$6+7*31)+6,INDEX('İzin Planı'!$J$6:$J$35,34-5)&gt;=('Özet'!$C$6+7*31)),AND(N(INDEX('İzin Planı'!$L$6:$L$35,34-5))&gt;0,INDEX('İzin Planı'!$L$6:$L$35,34-5)&lt;=('Özet'!$C$6+7*31)+6,INDEX('İzin Planı'!$M$6:$M$35,34-5)&gt;=('Özet'!$C$6+7*31))),"İ",""))</f>
      </c>
      <c r="AI34" s="13">
        <f>IF(INDEX('İzin Planı'!$C$6:$C$35,34-5)="","",IF(OR(AND(N(INDEX('İzin Planı'!$F$6:$F$35,34-5))&gt;0,INDEX('İzin Planı'!$F$6:$F$35,34-5)&lt;=('Özet'!$C$6+7*32)+6,INDEX('İzin Planı'!$G$6:$G$35,34-5)&gt;=('Özet'!$C$6+7*32)),AND(N(INDEX('İzin Planı'!$I$6:$I$35,34-5))&gt;0,INDEX('İzin Planı'!$I$6:$I$35,34-5)&lt;=('Özet'!$C$6+7*32)+6,INDEX('İzin Planı'!$J$6:$J$35,34-5)&gt;=('Özet'!$C$6+7*32)),AND(N(INDEX('İzin Planı'!$L$6:$L$35,34-5))&gt;0,INDEX('İzin Planı'!$L$6:$L$35,34-5)&lt;=('Özet'!$C$6+7*32)+6,INDEX('İzin Planı'!$M$6:$M$35,34-5)&gt;=('Özet'!$C$6+7*32))),"İ",""))</f>
      </c>
      <c r="AJ34" s="13">
        <f>IF(INDEX('İzin Planı'!$C$6:$C$35,34-5)="","",IF(OR(AND(N(INDEX('İzin Planı'!$F$6:$F$35,34-5))&gt;0,INDEX('İzin Planı'!$F$6:$F$35,34-5)&lt;=('Özet'!$C$6+7*33)+6,INDEX('İzin Planı'!$G$6:$G$35,34-5)&gt;=('Özet'!$C$6+7*33)),AND(N(INDEX('İzin Planı'!$I$6:$I$35,34-5))&gt;0,INDEX('İzin Planı'!$I$6:$I$35,34-5)&lt;=('Özet'!$C$6+7*33)+6,INDEX('İzin Planı'!$J$6:$J$35,34-5)&gt;=('Özet'!$C$6+7*33)),AND(N(INDEX('İzin Planı'!$L$6:$L$35,34-5))&gt;0,INDEX('İzin Planı'!$L$6:$L$35,34-5)&lt;=('Özet'!$C$6+7*33)+6,INDEX('İzin Planı'!$M$6:$M$35,34-5)&gt;=('Özet'!$C$6+7*33))),"İ",""))</f>
      </c>
      <c r="AK34" s="13">
        <f>IF(INDEX('İzin Planı'!$C$6:$C$35,34-5)="","",IF(OR(AND(N(INDEX('İzin Planı'!$F$6:$F$35,34-5))&gt;0,INDEX('İzin Planı'!$F$6:$F$35,34-5)&lt;=('Özet'!$C$6+7*34)+6,INDEX('İzin Planı'!$G$6:$G$35,34-5)&gt;=('Özet'!$C$6+7*34)),AND(N(INDEX('İzin Planı'!$I$6:$I$35,34-5))&gt;0,INDEX('İzin Planı'!$I$6:$I$35,34-5)&lt;=('Özet'!$C$6+7*34)+6,INDEX('İzin Planı'!$J$6:$J$35,34-5)&gt;=('Özet'!$C$6+7*34)),AND(N(INDEX('İzin Planı'!$L$6:$L$35,34-5))&gt;0,INDEX('İzin Planı'!$L$6:$L$35,34-5)&lt;=('Özet'!$C$6+7*34)+6,INDEX('İzin Planı'!$M$6:$M$35,34-5)&gt;=('Özet'!$C$6+7*34))),"İ",""))</f>
      </c>
      <c r="AL34" s="13">
        <f>IF(INDEX('İzin Planı'!$C$6:$C$35,34-5)="","",IF(OR(AND(N(INDEX('İzin Planı'!$F$6:$F$35,34-5))&gt;0,INDEX('İzin Planı'!$F$6:$F$35,34-5)&lt;=('Özet'!$C$6+7*35)+6,INDEX('İzin Planı'!$G$6:$G$35,34-5)&gt;=('Özet'!$C$6+7*35)),AND(N(INDEX('İzin Planı'!$I$6:$I$35,34-5))&gt;0,INDEX('İzin Planı'!$I$6:$I$35,34-5)&lt;=('Özet'!$C$6+7*35)+6,INDEX('İzin Planı'!$J$6:$J$35,34-5)&gt;=('Özet'!$C$6+7*35)),AND(N(INDEX('İzin Planı'!$L$6:$L$35,34-5))&gt;0,INDEX('İzin Planı'!$L$6:$L$35,34-5)&lt;=('Özet'!$C$6+7*35)+6,INDEX('İzin Planı'!$M$6:$M$35,34-5)&gt;=('Özet'!$C$6+7*35))),"İ",""))</f>
      </c>
      <c r="AM34" s="13">
        <f>IF(INDEX('İzin Planı'!$C$6:$C$35,34-5)="","",IF(OR(AND(N(INDEX('İzin Planı'!$F$6:$F$35,34-5))&gt;0,INDEX('İzin Planı'!$F$6:$F$35,34-5)&lt;=('Özet'!$C$6+7*36)+6,INDEX('İzin Planı'!$G$6:$G$35,34-5)&gt;=('Özet'!$C$6+7*36)),AND(N(INDEX('İzin Planı'!$I$6:$I$35,34-5))&gt;0,INDEX('İzin Planı'!$I$6:$I$35,34-5)&lt;=('Özet'!$C$6+7*36)+6,INDEX('İzin Planı'!$J$6:$J$35,34-5)&gt;=('Özet'!$C$6+7*36)),AND(N(INDEX('İzin Planı'!$L$6:$L$35,34-5))&gt;0,INDEX('İzin Planı'!$L$6:$L$35,34-5)&lt;=('Özet'!$C$6+7*36)+6,INDEX('İzin Planı'!$M$6:$M$35,34-5)&gt;=('Özet'!$C$6+7*36))),"İ",""))</f>
      </c>
      <c r="AN34" s="13">
        <f>IF(INDEX('İzin Planı'!$C$6:$C$35,34-5)="","",IF(OR(AND(N(INDEX('İzin Planı'!$F$6:$F$35,34-5))&gt;0,INDEX('İzin Planı'!$F$6:$F$35,34-5)&lt;=('Özet'!$C$6+7*37)+6,INDEX('İzin Planı'!$G$6:$G$35,34-5)&gt;=('Özet'!$C$6+7*37)),AND(N(INDEX('İzin Planı'!$I$6:$I$35,34-5))&gt;0,INDEX('İzin Planı'!$I$6:$I$35,34-5)&lt;=('Özet'!$C$6+7*37)+6,INDEX('İzin Planı'!$J$6:$J$35,34-5)&gt;=('Özet'!$C$6+7*37)),AND(N(INDEX('İzin Planı'!$L$6:$L$35,34-5))&gt;0,INDEX('İzin Planı'!$L$6:$L$35,34-5)&lt;=('Özet'!$C$6+7*37)+6,INDEX('İzin Planı'!$M$6:$M$35,34-5)&gt;=('Özet'!$C$6+7*37))),"İ",""))</f>
      </c>
      <c r="AO34" s="13">
        <f>IF(INDEX('İzin Planı'!$C$6:$C$35,34-5)="","",IF(OR(AND(N(INDEX('İzin Planı'!$F$6:$F$35,34-5))&gt;0,INDEX('İzin Planı'!$F$6:$F$35,34-5)&lt;=('Özet'!$C$6+7*38)+6,INDEX('İzin Planı'!$G$6:$G$35,34-5)&gt;=('Özet'!$C$6+7*38)),AND(N(INDEX('İzin Planı'!$I$6:$I$35,34-5))&gt;0,INDEX('İzin Planı'!$I$6:$I$35,34-5)&lt;=('Özet'!$C$6+7*38)+6,INDEX('İzin Planı'!$J$6:$J$35,34-5)&gt;=('Özet'!$C$6+7*38)),AND(N(INDEX('İzin Planı'!$L$6:$L$35,34-5))&gt;0,INDEX('İzin Planı'!$L$6:$L$35,34-5)&lt;=('Özet'!$C$6+7*38)+6,INDEX('İzin Planı'!$M$6:$M$35,34-5)&gt;=('Özet'!$C$6+7*38))),"İ",""))</f>
      </c>
      <c r="AP34" s="13">
        <f>IF(INDEX('İzin Planı'!$C$6:$C$35,34-5)="","",IF(OR(AND(N(INDEX('İzin Planı'!$F$6:$F$35,34-5))&gt;0,INDEX('İzin Planı'!$F$6:$F$35,34-5)&lt;=('Özet'!$C$6+7*39)+6,INDEX('İzin Planı'!$G$6:$G$35,34-5)&gt;=('Özet'!$C$6+7*39)),AND(N(INDEX('İzin Planı'!$I$6:$I$35,34-5))&gt;0,INDEX('İzin Planı'!$I$6:$I$35,34-5)&lt;=('Özet'!$C$6+7*39)+6,INDEX('İzin Planı'!$J$6:$J$35,34-5)&gt;=('Özet'!$C$6+7*39)),AND(N(INDEX('İzin Planı'!$L$6:$L$35,34-5))&gt;0,INDEX('İzin Planı'!$L$6:$L$35,34-5)&lt;=('Özet'!$C$6+7*39)+6,INDEX('İzin Planı'!$M$6:$M$35,34-5)&gt;=('Özet'!$C$6+7*39))),"İ",""))</f>
      </c>
      <c r="AQ34" s="13">
        <f>IF(INDEX('İzin Planı'!$C$6:$C$35,34-5)="","",IF(OR(AND(N(INDEX('İzin Planı'!$F$6:$F$35,34-5))&gt;0,INDEX('İzin Planı'!$F$6:$F$35,34-5)&lt;=('Özet'!$C$6+7*40)+6,INDEX('İzin Planı'!$G$6:$G$35,34-5)&gt;=('Özet'!$C$6+7*40)),AND(N(INDEX('İzin Planı'!$I$6:$I$35,34-5))&gt;0,INDEX('İzin Planı'!$I$6:$I$35,34-5)&lt;=('Özet'!$C$6+7*40)+6,INDEX('İzin Planı'!$J$6:$J$35,34-5)&gt;=('Özet'!$C$6+7*40)),AND(N(INDEX('İzin Planı'!$L$6:$L$35,34-5))&gt;0,INDEX('İzin Planı'!$L$6:$L$35,34-5)&lt;=('Özet'!$C$6+7*40)+6,INDEX('İzin Planı'!$M$6:$M$35,34-5)&gt;=('Özet'!$C$6+7*40))),"İ",""))</f>
      </c>
      <c r="AR34" s="13">
        <f>IF(INDEX('İzin Planı'!$C$6:$C$35,34-5)="","",IF(OR(AND(N(INDEX('İzin Planı'!$F$6:$F$35,34-5))&gt;0,INDEX('İzin Planı'!$F$6:$F$35,34-5)&lt;=('Özet'!$C$6+7*41)+6,INDEX('İzin Planı'!$G$6:$G$35,34-5)&gt;=('Özet'!$C$6+7*41)),AND(N(INDEX('İzin Planı'!$I$6:$I$35,34-5))&gt;0,INDEX('İzin Planı'!$I$6:$I$35,34-5)&lt;=('Özet'!$C$6+7*41)+6,INDEX('İzin Planı'!$J$6:$J$35,34-5)&gt;=('Özet'!$C$6+7*41)),AND(N(INDEX('İzin Planı'!$L$6:$L$35,34-5))&gt;0,INDEX('İzin Planı'!$L$6:$L$35,34-5)&lt;=('Özet'!$C$6+7*41)+6,INDEX('İzin Planı'!$M$6:$M$35,34-5)&gt;=('Özet'!$C$6+7*41))),"İ",""))</f>
      </c>
      <c r="AS34" s="13">
        <f>IF(INDEX('İzin Planı'!$C$6:$C$35,34-5)="","",IF(OR(AND(N(INDEX('İzin Planı'!$F$6:$F$35,34-5))&gt;0,INDEX('İzin Planı'!$F$6:$F$35,34-5)&lt;=('Özet'!$C$6+7*42)+6,INDEX('İzin Planı'!$G$6:$G$35,34-5)&gt;=('Özet'!$C$6+7*42)),AND(N(INDEX('İzin Planı'!$I$6:$I$35,34-5))&gt;0,INDEX('İzin Planı'!$I$6:$I$35,34-5)&lt;=('Özet'!$C$6+7*42)+6,INDEX('İzin Planı'!$J$6:$J$35,34-5)&gt;=('Özet'!$C$6+7*42)),AND(N(INDEX('İzin Planı'!$L$6:$L$35,34-5))&gt;0,INDEX('İzin Planı'!$L$6:$L$35,34-5)&lt;=('Özet'!$C$6+7*42)+6,INDEX('İzin Planı'!$M$6:$M$35,34-5)&gt;=('Özet'!$C$6+7*42))),"İ",""))</f>
      </c>
      <c r="AT34" s="13">
        <f>IF(INDEX('İzin Planı'!$C$6:$C$35,34-5)="","",IF(OR(AND(N(INDEX('İzin Planı'!$F$6:$F$35,34-5))&gt;0,INDEX('İzin Planı'!$F$6:$F$35,34-5)&lt;=('Özet'!$C$6+7*43)+6,INDEX('İzin Planı'!$G$6:$G$35,34-5)&gt;=('Özet'!$C$6+7*43)),AND(N(INDEX('İzin Planı'!$I$6:$I$35,34-5))&gt;0,INDEX('İzin Planı'!$I$6:$I$35,34-5)&lt;=('Özet'!$C$6+7*43)+6,INDEX('İzin Planı'!$J$6:$J$35,34-5)&gt;=('Özet'!$C$6+7*43)),AND(N(INDEX('İzin Planı'!$L$6:$L$35,34-5))&gt;0,INDEX('İzin Planı'!$L$6:$L$35,34-5)&lt;=('Özet'!$C$6+7*43)+6,INDEX('İzin Planı'!$M$6:$M$35,34-5)&gt;=('Özet'!$C$6+7*43))),"İ",""))</f>
      </c>
      <c r="AU34" s="13">
        <f>IF(INDEX('İzin Planı'!$C$6:$C$35,34-5)="","",IF(OR(AND(N(INDEX('İzin Planı'!$F$6:$F$35,34-5))&gt;0,INDEX('İzin Planı'!$F$6:$F$35,34-5)&lt;=('Özet'!$C$6+7*44)+6,INDEX('İzin Planı'!$G$6:$G$35,34-5)&gt;=('Özet'!$C$6+7*44)),AND(N(INDEX('İzin Planı'!$I$6:$I$35,34-5))&gt;0,INDEX('İzin Planı'!$I$6:$I$35,34-5)&lt;=('Özet'!$C$6+7*44)+6,INDEX('İzin Planı'!$J$6:$J$35,34-5)&gt;=('Özet'!$C$6+7*44)),AND(N(INDEX('İzin Planı'!$L$6:$L$35,34-5))&gt;0,INDEX('İzin Planı'!$L$6:$L$35,34-5)&lt;=('Özet'!$C$6+7*44)+6,INDEX('İzin Planı'!$M$6:$M$35,34-5)&gt;=('Özet'!$C$6+7*44))),"İ",""))</f>
      </c>
      <c r="AV34" s="13">
        <f>IF(INDEX('İzin Planı'!$C$6:$C$35,34-5)="","",IF(OR(AND(N(INDEX('İzin Planı'!$F$6:$F$35,34-5))&gt;0,INDEX('İzin Planı'!$F$6:$F$35,34-5)&lt;=('Özet'!$C$6+7*45)+6,INDEX('İzin Planı'!$G$6:$G$35,34-5)&gt;=('Özet'!$C$6+7*45)),AND(N(INDEX('İzin Planı'!$I$6:$I$35,34-5))&gt;0,INDEX('İzin Planı'!$I$6:$I$35,34-5)&lt;=('Özet'!$C$6+7*45)+6,INDEX('İzin Planı'!$J$6:$J$35,34-5)&gt;=('Özet'!$C$6+7*45)),AND(N(INDEX('İzin Planı'!$L$6:$L$35,34-5))&gt;0,INDEX('İzin Planı'!$L$6:$L$35,34-5)&lt;=('Özet'!$C$6+7*45)+6,INDEX('İzin Planı'!$M$6:$M$35,34-5)&gt;=('Özet'!$C$6+7*45))),"İ",""))</f>
      </c>
      <c r="AW34" s="13">
        <f>IF(INDEX('İzin Planı'!$C$6:$C$35,34-5)="","",IF(OR(AND(N(INDEX('İzin Planı'!$F$6:$F$35,34-5))&gt;0,INDEX('İzin Planı'!$F$6:$F$35,34-5)&lt;=('Özet'!$C$6+7*46)+6,INDEX('İzin Planı'!$G$6:$G$35,34-5)&gt;=('Özet'!$C$6+7*46)),AND(N(INDEX('İzin Planı'!$I$6:$I$35,34-5))&gt;0,INDEX('İzin Planı'!$I$6:$I$35,34-5)&lt;=('Özet'!$C$6+7*46)+6,INDEX('İzin Planı'!$J$6:$J$35,34-5)&gt;=('Özet'!$C$6+7*46)),AND(N(INDEX('İzin Planı'!$L$6:$L$35,34-5))&gt;0,INDEX('İzin Planı'!$L$6:$L$35,34-5)&lt;=('Özet'!$C$6+7*46)+6,INDEX('İzin Planı'!$M$6:$M$35,34-5)&gt;=('Özet'!$C$6+7*46))),"İ",""))</f>
      </c>
      <c r="AX34" s="13">
        <f>IF(INDEX('İzin Planı'!$C$6:$C$35,34-5)="","",IF(OR(AND(N(INDEX('İzin Planı'!$F$6:$F$35,34-5))&gt;0,INDEX('İzin Planı'!$F$6:$F$35,34-5)&lt;=('Özet'!$C$6+7*47)+6,INDEX('İzin Planı'!$G$6:$G$35,34-5)&gt;=('Özet'!$C$6+7*47)),AND(N(INDEX('İzin Planı'!$I$6:$I$35,34-5))&gt;0,INDEX('İzin Planı'!$I$6:$I$35,34-5)&lt;=('Özet'!$C$6+7*47)+6,INDEX('İzin Planı'!$J$6:$J$35,34-5)&gt;=('Özet'!$C$6+7*47)),AND(N(INDEX('İzin Planı'!$L$6:$L$35,34-5))&gt;0,INDEX('İzin Planı'!$L$6:$L$35,34-5)&lt;=('Özet'!$C$6+7*47)+6,INDEX('İzin Planı'!$M$6:$M$35,34-5)&gt;=('Özet'!$C$6+7*47))),"İ",""))</f>
      </c>
      <c r="AY34" s="13">
        <f>IF(INDEX('İzin Planı'!$C$6:$C$35,34-5)="","",IF(OR(AND(N(INDEX('İzin Planı'!$F$6:$F$35,34-5))&gt;0,INDEX('İzin Planı'!$F$6:$F$35,34-5)&lt;=('Özet'!$C$6+7*48)+6,INDEX('İzin Planı'!$G$6:$G$35,34-5)&gt;=('Özet'!$C$6+7*48)),AND(N(INDEX('İzin Planı'!$I$6:$I$35,34-5))&gt;0,INDEX('İzin Planı'!$I$6:$I$35,34-5)&lt;=('Özet'!$C$6+7*48)+6,INDEX('İzin Planı'!$J$6:$J$35,34-5)&gt;=('Özet'!$C$6+7*48)),AND(N(INDEX('İzin Planı'!$L$6:$L$35,34-5))&gt;0,INDEX('İzin Planı'!$L$6:$L$35,34-5)&lt;=('Özet'!$C$6+7*48)+6,INDEX('İzin Planı'!$M$6:$M$35,34-5)&gt;=('Özet'!$C$6+7*48))),"İ",""))</f>
      </c>
      <c r="AZ34" s="13">
        <f>IF(INDEX('İzin Planı'!$C$6:$C$35,34-5)="","",IF(OR(AND(N(INDEX('İzin Planı'!$F$6:$F$35,34-5))&gt;0,INDEX('İzin Planı'!$F$6:$F$35,34-5)&lt;=('Özet'!$C$6+7*49)+6,INDEX('İzin Planı'!$G$6:$G$35,34-5)&gt;=('Özet'!$C$6+7*49)),AND(N(INDEX('İzin Planı'!$I$6:$I$35,34-5))&gt;0,INDEX('İzin Planı'!$I$6:$I$35,34-5)&lt;=('Özet'!$C$6+7*49)+6,INDEX('İzin Planı'!$J$6:$J$35,34-5)&gt;=('Özet'!$C$6+7*49)),AND(N(INDEX('İzin Planı'!$L$6:$L$35,34-5))&gt;0,INDEX('İzin Planı'!$L$6:$L$35,34-5)&lt;=('Özet'!$C$6+7*49)+6,INDEX('İzin Planı'!$M$6:$M$35,34-5)&gt;=('Özet'!$C$6+7*49))),"İ",""))</f>
      </c>
      <c r="BA34" s="13">
        <f>IF(INDEX('İzin Planı'!$C$6:$C$35,34-5)="","",IF(OR(AND(N(INDEX('İzin Planı'!$F$6:$F$35,34-5))&gt;0,INDEX('İzin Planı'!$F$6:$F$35,34-5)&lt;=('Özet'!$C$6+7*50)+6,INDEX('İzin Planı'!$G$6:$G$35,34-5)&gt;=('Özet'!$C$6+7*50)),AND(N(INDEX('İzin Planı'!$I$6:$I$35,34-5))&gt;0,INDEX('İzin Planı'!$I$6:$I$35,34-5)&lt;=('Özet'!$C$6+7*50)+6,INDEX('İzin Planı'!$J$6:$J$35,34-5)&gt;=('Özet'!$C$6+7*50)),AND(N(INDEX('İzin Planı'!$L$6:$L$35,34-5))&gt;0,INDEX('İzin Planı'!$L$6:$L$35,34-5)&lt;=('Özet'!$C$6+7*50)+6,INDEX('İzin Planı'!$M$6:$M$35,34-5)&gt;=('Özet'!$C$6+7*50))),"İ",""))</f>
      </c>
      <c r="BB34" s="13">
        <f>IF(INDEX('İzin Planı'!$C$6:$C$35,34-5)="","",IF(OR(AND(N(INDEX('İzin Planı'!$F$6:$F$35,34-5))&gt;0,INDEX('İzin Planı'!$F$6:$F$35,34-5)&lt;=('Özet'!$C$6+7*51)+6,INDEX('İzin Planı'!$G$6:$G$35,34-5)&gt;=('Özet'!$C$6+7*51)),AND(N(INDEX('İzin Planı'!$I$6:$I$35,34-5))&gt;0,INDEX('İzin Planı'!$I$6:$I$35,34-5)&lt;=('Özet'!$C$6+7*51)+6,INDEX('İzin Planı'!$J$6:$J$35,34-5)&gt;=('Özet'!$C$6+7*51)),AND(N(INDEX('İzin Planı'!$L$6:$L$35,34-5))&gt;0,INDEX('İzin Planı'!$L$6:$L$35,34-5)&lt;=('Özet'!$C$6+7*51)+6,INDEX('İzin Planı'!$M$6:$M$35,34-5)&gt;=('Özet'!$C$6+7*51))),"İ",""))</f>
      </c>
      <c r="BC34" s="13">
        <f>IF(INDEX('İzin Planı'!$C$6:$C$35,34-5)="","",IF(OR(AND(N(INDEX('İzin Planı'!$F$6:$F$35,34-5))&gt;0,INDEX('İzin Planı'!$F$6:$F$35,34-5)&lt;=('Özet'!$C$6+7*52)+6,INDEX('İzin Planı'!$G$6:$G$35,34-5)&gt;=('Özet'!$C$6+7*52)),AND(N(INDEX('İzin Planı'!$I$6:$I$35,34-5))&gt;0,INDEX('İzin Planı'!$I$6:$I$35,34-5)&lt;=('Özet'!$C$6+7*52)+6,INDEX('İzin Planı'!$J$6:$J$35,34-5)&gt;=('Özet'!$C$6+7*52)),AND(N(INDEX('İzin Planı'!$L$6:$L$35,34-5))&gt;0,INDEX('İzin Planı'!$L$6:$L$35,34-5)&lt;=('Özet'!$C$6+7*52)+6,INDEX('İzin Planı'!$M$6:$M$35,34-5)&gt;=('Özet'!$C$6+7*52))),"İ",""))</f>
      </c>
    </row>
    <row r="35" ht="18" customHeight="1" spans="1:55" x14ac:dyDescent="0.25">
      <c r="A35" s="6">
        <v>30</v>
      </c>
      <c r="B35" s="13">
        <f>IF(INDEX('İzin Planı'!$C$6:$C$35,35-5)="","",INDEX('İzin Planı'!$C$6:$C$35,35-5))</f>
      </c>
      <c r="C35" s="13">
        <f>IF(INDEX('İzin Planı'!$C$6:$C$35,35-5)="","",IF(OR(AND(N(INDEX('İzin Planı'!$F$6:$F$35,35-5))&gt;0,INDEX('İzin Planı'!$F$6:$F$35,35-5)&lt;=('Özet'!$C$6+7*0)+6,INDEX('İzin Planı'!$G$6:$G$35,35-5)&gt;=('Özet'!$C$6+7*0)),AND(N(INDEX('İzin Planı'!$I$6:$I$35,35-5))&gt;0,INDEX('İzin Planı'!$I$6:$I$35,35-5)&lt;=('Özet'!$C$6+7*0)+6,INDEX('İzin Planı'!$J$6:$J$35,35-5)&gt;=('Özet'!$C$6+7*0)),AND(N(INDEX('İzin Planı'!$L$6:$L$35,35-5))&gt;0,INDEX('İzin Planı'!$L$6:$L$35,35-5)&lt;=('Özet'!$C$6+7*0)+6,INDEX('İzin Planı'!$M$6:$M$35,35-5)&gt;=('Özet'!$C$6+7*0))),"İ",""))</f>
      </c>
      <c r="D35" s="13">
        <f>IF(INDEX('İzin Planı'!$C$6:$C$35,35-5)="","",IF(OR(AND(N(INDEX('İzin Planı'!$F$6:$F$35,35-5))&gt;0,INDEX('İzin Planı'!$F$6:$F$35,35-5)&lt;=('Özet'!$C$6+7*1)+6,INDEX('İzin Planı'!$G$6:$G$35,35-5)&gt;=('Özet'!$C$6+7*1)),AND(N(INDEX('İzin Planı'!$I$6:$I$35,35-5))&gt;0,INDEX('İzin Planı'!$I$6:$I$35,35-5)&lt;=('Özet'!$C$6+7*1)+6,INDEX('İzin Planı'!$J$6:$J$35,35-5)&gt;=('Özet'!$C$6+7*1)),AND(N(INDEX('İzin Planı'!$L$6:$L$35,35-5))&gt;0,INDEX('İzin Planı'!$L$6:$L$35,35-5)&lt;=('Özet'!$C$6+7*1)+6,INDEX('İzin Planı'!$M$6:$M$35,35-5)&gt;=('Özet'!$C$6+7*1))),"İ",""))</f>
      </c>
      <c r="E35" s="13">
        <f>IF(INDEX('İzin Planı'!$C$6:$C$35,35-5)="","",IF(OR(AND(N(INDEX('İzin Planı'!$F$6:$F$35,35-5))&gt;0,INDEX('İzin Planı'!$F$6:$F$35,35-5)&lt;=('Özet'!$C$6+7*2)+6,INDEX('İzin Planı'!$G$6:$G$35,35-5)&gt;=('Özet'!$C$6+7*2)),AND(N(INDEX('İzin Planı'!$I$6:$I$35,35-5))&gt;0,INDEX('İzin Planı'!$I$6:$I$35,35-5)&lt;=('Özet'!$C$6+7*2)+6,INDEX('İzin Planı'!$J$6:$J$35,35-5)&gt;=('Özet'!$C$6+7*2)),AND(N(INDEX('İzin Planı'!$L$6:$L$35,35-5))&gt;0,INDEX('İzin Planı'!$L$6:$L$35,35-5)&lt;=('Özet'!$C$6+7*2)+6,INDEX('İzin Planı'!$M$6:$M$35,35-5)&gt;=('Özet'!$C$6+7*2))),"İ",""))</f>
      </c>
      <c r="F35" s="13">
        <f>IF(INDEX('İzin Planı'!$C$6:$C$35,35-5)="","",IF(OR(AND(N(INDEX('İzin Planı'!$F$6:$F$35,35-5))&gt;0,INDEX('İzin Planı'!$F$6:$F$35,35-5)&lt;=('Özet'!$C$6+7*3)+6,INDEX('İzin Planı'!$G$6:$G$35,35-5)&gt;=('Özet'!$C$6+7*3)),AND(N(INDEX('İzin Planı'!$I$6:$I$35,35-5))&gt;0,INDEX('İzin Planı'!$I$6:$I$35,35-5)&lt;=('Özet'!$C$6+7*3)+6,INDEX('İzin Planı'!$J$6:$J$35,35-5)&gt;=('Özet'!$C$6+7*3)),AND(N(INDEX('İzin Planı'!$L$6:$L$35,35-5))&gt;0,INDEX('İzin Planı'!$L$6:$L$35,35-5)&lt;=('Özet'!$C$6+7*3)+6,INDEX('İzin Planı'!$M$6:$M$35,35-5)&gt;=('Özet'!$C$6+7*3))),"İ",""))</f>
      </c>
      <c r="G35" s="13">
        <f>IF(INDEX('İzin Planı'!$C$6:$C$35,35-5)="","",IF(OR(AND(N(INDEX('İzin Planı'!$F$6:$F$35,35-5))&gt;0,INDEX('İzin Planı'!$F$6:$F$35,35-5)&lt;=('Özet'!$C$6+7*4)+6,INDEX('İzin Planı'!$G$6:$G$35,35-5)&gt;=('Özet'!$C$6+7*4)),AND(N(INDEX('İzin Planı'!$I$6:$I$35,35-5))&gt;0,INDEX('İzin Planı'!$I$6:$I$35,35-5)&lt;=('Özet'!$C$6+7*4)+6,INDEX('İzin Planı'!$J$6:$J$35,35-5)&gt;=('Özet'!$C$6+7*4)),AND(N(INDEX('İzin Planı'!$L$6:$L$35,35-5))&gt;0,INDEX('İzin Planı'!$L$6:$L$35,35-5)&lt;=('Özet'!$C$6+7*4)+6,INDEX('İzin Planı'!$M$6:$M$35,35-5)&gt;=('Özet'!$C$6+7*4))),"İ",""))</f>
      </c>
      <c r="H35" s="13">
        <f>IF(INDEX('İzin Planı'!$C$6:$C$35,35-5)="","",IF(OR(AND(N(INDEX('İzin Planı'!$F$6:$F$35,35-5))&gt;0,INDEX('İzin Planı'!$F$6:$F$35,35-5)&lt;=('Özet'!$C$6+7*5)+6,INDEX('İzin Planı'!$G$6:$G$35,35-5)&gt;=('Özet'!$C$6+7*5)),AND(N(INDEX('İzin Planı'!$I$6:$I$35,35-5))&gt;0,INDEX('İzin Planı'!$I$6:$I$35,35-5)&lt;=('Özet'!$C$6+7*5)+6,INDEX('İzin Planı'!$J$6:$J$35,35-5)&gt;=('Özet'!$C$6+7*5)),AND(N(INDEX('İzin Planı'!$L$6:$L$35,35-5))&gt;0,INDEX('İzin Planı'!$L$6:$L$35,35-5)&lt;=('Özet'!$C$6+7*5)+6,INDEX('İzin Planı'!$M$6:$M$35,35-5)&gt;=('Özet'!$C$6+7*5))),"İ",""))</f>
      </c>
      <c r="I35" s="13">
        <f>IF(INDEX('İzin Planı'!$C$6:$C$35,35-5)="","",IF(OR(AND(N(INDEX('İzin Planı'!$F$6:$F$35,35-5))&gt;0,INDEX('İzin Planı'!$F$6:$F$35,35-5)&lt;=('Özet'!$C$6+7*6)+6,INDEX('İzin Planı'!$G$6:$G$35,35-5)&gt;=('Özet'!$C$6+7*6)),AND(N(INDEX('İzin Planı'!$I$6:$I$35,35-5))&gt;0,INDEX('İzin Planı'!$I$6:$I$35,35-5)&lt;=('Özet'!$C$6+7*6)+6,INDEX('İzin Planı'!$J$6:$J$35,35-5)&gt;=('Özet'!$C$6+7*6)),AND(N(INDEX('İzin Planı'!$L$6:$L$35,35-5))&gt;0,INDEX('İzin Planı'!$L$6:$L$35,35-5)&lt;=('Özet'!$C$6+7*6)+6,INDEX('İzin Planı'!$M$6:$M$35,35-5)&gt;=('Özet'!$C$6+7*6))),"İ",""))</f>
      </c>
      <c r="J35" s="13">
        <f>IF(INDEX('İzin Planı'!$C$6:$C$35,35-5)="","",IF(OR(AND(N(INDEX('İzin Planı'!$F$6:$F$35,35-5))&gt;0,INDEX('İzin Planı'!$F$6:$F$35,35-5)&lt;=('Özet'!$C$6+7*7)+6,INDEX('İzin Planı'!$G$6:$G$35,35-5)&gt;=('Özet'!$C$6+7*7)),AND(N(INDEX('İzin Planı'!$I$6:$I$35,35-5))&gt;0,INDEX('İzin Planı'!$I$6:$I$35,35-5)&lt;=('Özet'!$C$6+7*7)+6,INDEX('İzin Planı'!$J$6:$J$35,35-5)&gt;=('Özet'!$C$6+7*7)),AND(N(INDEX('İzin Planı'!$L$6:$L$35,35-5))&gt;0,INDEX('İzin Planı'!$L$6:$L$35,35-5)&lt;=('Özet'!$C$6+7*7)+6,INDEX('İzin Planı'!$M$6:$M$35,35-5)&gt;=('Özet'!$C$6+7*7))),"İ",""))</f>
      </c>
      <c r="K35" s="13">
        <f>IF(INDEX('İzin Planı'!$C$6:$C$35,35-5)="","",IF(OR(AND(N(INDEX('İzin Planı'!$F$6:$F$35,35-5))&gt;0,INDEX('İzin Planı'!$F$6:$F$35,35-5)&lt;=('Özet'!$C$6+7*8)+6,INDEX('İzin Planı'!$G$6:$G$35,35-5)&gt;=('Özet'!$C$6+7*8)),AND(N(INDEX('İzin Planı'!$I$6:$I$35,35-5))&gt;0,INDEX('İzin Planı'!$I$6:$I$35,35-5)&lt;=('Özet'!$C$6+7*8)+6,INDEX('İzin Planı'!$J$6:$J$35,35-5)&gt;=('Özet'!$C$6+7*8)),AND(N(INDEX('İzin Planı'!$L$6:$L$35,35-5))&gt;0,INDEX('İzin Planı'!$L$6:$L$35,35-5)&lt;=('Özet'!$C$6+7*8)+6,INDEX('İzin Planı'!$M$6:$M$35,35-5)&gt;=('Özet'!$C$6+7*8))),"İ",""))</f>
      </c>
      <c r="L35" s="13">
        <f>IF(INDEX('İzin Planı'!$C$6:$C$35,35-5)="","",IF(OR(AND(N(INDEX('İzin Planı'!$F$6:$F$35,35-5))&gt;0,INDEX('İzin Planı'!$F$6:$F$35,35-5)&lt;=('Özet'!$C$6+7*9)+6,INDEX('İzin Planı'!$G$6:$G$35,35-5)&gt;=('Özet'!$C$6+7*9)),AND(N(INDEX('İzin Planı'!$I$6:$I$35,35-5))&gt;0,INDEX('İzin Planı'!$I$6:$I$35,35-5)&lt;=('Özet'!$C$6+7*9)+6,INDEX('İzin Planı'!$J$6:$J$35,35-5)&gt;=('Özet'!$C$6+7*9)),AND(N(INDEX('İzin Planı'!$L$6:$L$35,35-5))&gt;0,INDEX('İzin Planı'!$L$6:$L$35,35-5)&lt;=('Özet'!$C$6+7*9)+6,INDEX('İzin Planı'!$M$6:$M$35,35-5)&gt;=('Özet'!$C$6+7*9))),"İ",""))</f>
      </c>
      <c r="M35" s="13">
        <f>IF(INDEX('İzin Planı'!$C$6:$C$35,35-5)="","",IF(OR(AND(N(INDEX('İzin Planı'!$F$6:$F$35,35-5))&gt;0,INDEX('İzin Planı'!$F$6:$F$35,35-5)&lt;=('Özet'!$C$6+7*10)+6,INDEX('İzin Planı'!$G$6:$G$35,35-5)&gt;=('Özet'!$C$6+7*10)),AND(N(INDEX('İzin Planı'!$I$6:$I$35,35-5))&gt;0,INDEX('İzin Planı'!$I$6:$I$35,35-5)&lt;=('Özet'!$C$6+7*10)+6,INDEX('İzin Planı'!$J$6:$J$35,35-5)&gt;=('Özet'!$C$6+7*10)),AND(N(INDEX('İzin Planı'!$L$6:$L$35,35-5))&gt;0,INDEX('İzin Planı'!$L$6:$L$35,35-5)&lt;=('Özet'!$C$6+7*10)+6,INDEX('İzin Planı'!$M$6:$M$35,35-5)&gt;=('Özet'!$C$6+7*10))),"İ",""))</f>
      </c>
      <c r="N35" s="13">
        <f>IF(INDEX('İzin Planı'!$C$6:$C$35,35-5)="","",IF(OR(AND(N(INDEX('İzin Planı'!$F$6:$F$35,35-5))&gt;0,INDEX('İzin Planı'!$F$6:$F$35,35-5)&lt;=('Özet'!$C$6+7*11)+6,INDEX('İzin Planı'!$G$6:$G$35,35-5)&gt;=('Özet'!$C$6+7*11)),AND(N(INDEX('İzin Planı'!$I$6:$I$35,35-5))&gt;0,INDEX('İzin Planı'!$I$6:$I$35,35-5)&lt;=('Özet'!$C$6+7*11)+6,INDEX('İzin Planı'!$J$6:$J$35,35-5)&gt;=('Özet'!$C$6+7*11)),AND(N(INDEX('İzin Planı'!$L$6:$L$35,35-5))&gt;0,INDEX('İzin Planı'!$L$6:$L$35,35-5)&lt;=('Özet'!$C$6+7*11)+6,INDEX('İzin Planı'!$M$6:$M$35,35-5)&gt;=('Özet'!$C$6+7*11))),"İ",""))</f>
      </c>
      <c r="O35" s="13">
        <f>IF(INDEX('İzin Planı'!$C$6:$C$35,35-5)="","",IF(OR(AND(N(INDEX('İzin Planı'!$F$6:$F$35,35-5))&gt;0,INDEX('İzin Planı'!$F$6:$F$35,35-5)&lt;=('Özet'!$C$6+7*12)+6,INDEX('İzin Planı'!$G$6:$G$35,35-5)&gt;=('Özet'!$C$6+7*12)),AND(N(INDEX('İzin Planı'!$I$6:$I$35,35-5))&gt;0,INDEX('İzin Planı'!$I$6:$I$35,35-5)&lt;=('Özet'!$C$6+7*12)+6,INDEX('İzin Planı'!$J$6:$J$35,35-5)&gt;=('Özet'!$C$6+7*12)),AND(N(INDEX('İzin Planı'!$L$6:$L$35,35-5))&gt;0,INDEX('İzin Planı'!$L$6:$L$35,35-5)&lt;=('Özet'!$C$6+7*12)+6,INDEX('İzin Planı'!$M$6:$M$35,35-5)&gt;=('Özet'!$C$6+7*12))),"İ",""))</f>
      </c>
      <c r="P35" s="13">
        <f>IF(INDEX('İzin Planı'!$C$6:$C$35,35-5)="","",IF(OR(AND(N(INDEX('İzin Planı'!$F$6:$F$35,35-5))&gt;0,INDEX('İzin Planı'!$F$6:$F$35,35-5)&lt;=('Özet'!$C$6+7*13)+6,INDEX('İzin Planı'!$G$6:$G$35,35-5)&gt;=('Özet'!$C$6+7*13)),AND(N(INDEX('İzin Planı'!$I$6:$I$35,35-5))&gt;0,INDEX('İzin Planı'!$I$6:$I$35,35-5)&lt;=('Özet'!$C$6+7*13)+6,INDEX('İzin Planı'!$J$6:$J$35,35-5)&gt;=('Özet'!$C$6+7*13)),AND(N(INDEX('İzin Planı'!$L$6:$L$35,35-5))&gt;0,INDEX('İzin Planı'!$L$6:$L$35,35-5)&lt;=('Özet'!$C$6+7*13)+6,INDEX('İzin Planı'!$M$6:$M$35,35-5)&gt;=('Özet'!$C$6+7*13))),"İ",""))</f>
      </c>
      <c r="Q35" s="13">
        <f>IF(INDEX('İzin Planı'!$C$6:$C$35,35-5)="","",IF(OR(AND(N(INDEX('İzin Planı'!$F$6:$F$35,35-5))&gt;0,INDEX('İzin Planı'!$F$6:$F$35,35-5)&lt;=('Özet'!$C$6+7*14)+6,INDEX('İzin Planı'!$G$6:$G$35,35-5)&gt;=('Özet'!$C$6+7*14)),AND(N(INDEX('İzin Planı'!$I$6:$I$35,35-5))&gt;0,INDEX('İzin Planı'!$I$6:$I$35,35-5)&lt;=('Özet'!$C$6+7*14)+6,INDEX('İzin Planı'!$J$6:$J$35,35-5)&gt;=('Özet'!$C$6+7*14)),AND(N(INDEX('İzin Planı'!$L$6:$L$35,35-5))&gt;0,INDEX('İzin Planı'!$L$6:$L$35,35-5)&lt;=('Özet'!$C$6+7*14)+6,INDEX('İzin Planı'!$M$6:$M$35,35-5)&gt;=('Özet'!$C$6+7*14))),"İ",""))</f>
      </c>
      <c r="R35" s="13">
        <f>IF(INDEX('İzin Planı'!$C$6:$C$35,35-5)="","",IF(OR(AND(N(INDEX('İzin Planı'!$F$6:$F$35,35-5))&gt;0,INDEX('İzin Planı'!$F$6:$F$35,35-5)&lt;=('Özet'!$C$6+7*15)+6,INDEX('İzin Planı'!$G$6:$G$35,35-5)&gt;=('Özet'!$C$6+7*15)),AND(N(INDEX('İzin Planı'!$I$6:$I$35,35-5))&gt;0,INDEX('İzin Planı'!$I$6:$I$35,35-5)&lt;=('Özet'!$C$6+7*15)+6,INDEX('İzin Planı'!$J$6:$J$35,35-5)&gt;=('Özet'!$C$6+7*15)),AND(N(INDEX('İzin Planı'!$L$6:$L$35,35-5))&gt;0,INDEX('İzin Planı'!$L$6:$L$35,35-5)&lt;=('Özet'!$C$6+7*15)+6,INDEX('İzin Planı'!$M$6:$M$35,35-5)&gt;=('Özet'!$C$6+7*15))),"İ",""))</f>
      </c>
      <c r="S35" s="13">
        <f>IF(INDEX('İzin Planı'!$C$6:$C$35,35-5)="","",IF(OR(AND(N(INDEX('İzin Planı'!$F$6:$F$35,35-5))&gt;0,INDEX('İzin Planı'!$F$6:$F$35,35-5)&lt;=('Özet'!$C$6+7*16)+6,INDEX('İzin Planı'!$G$6:$G$35,35-5)&gt;=('Özet'!$C$6+7*16)),AND(N(INDEX('İzin Planı'!$I$6:$I$35,35-5))&gt;0,INDEX('İzin Planı'!$I$6:$I$35,35-5)&lt;=('Özet'!$C$6+7*16)+6,INDEX('İzin Planı'!$J$6:$J$35,35-5)&gt;=('Özet'!$C$6+7*16)),AND(N(INDEX('İzin Planı'!$L$6:$L$35,35-5))&gt;0,INDEX('İzin Planı'!$L$6:$L$35,35-5)&lt;=('Özet'!$C$6+7*16)+6,INDEX('İzin Planı'!$M$6:$M$35,35-5)&gt;=('Özet'!$C$6+7*16))),"İ",""))</f>
      </c>
      <c r="T35" s="13">
        <f>IF(INDEX('İzin Planı'!$C$6:$C$35,35-5)="","",IF(OR(AND(N(INDEX('İzin Planı'!$F$6:$F$35,35-5))&gt;0,INDEX('İzin Planı'!$F$6:$F$35,35-5)&lt;=('Özet'!$C$6+7*17)+6,INDEX('İzin Planı'!$G$6:$G$35,35-5)&gt;=('Özet'!$C$6+7*17)),AND(N(INDEX('İzin Planı'!$I$6:$I$35,35-5))&gt;0,INDEX('İzin Planı'!$I$6:$I$35,35-5)&lt;=('Özet'!$C$6+7*17)+6,INDEX('İzin Planı'!$J$6:$J$35,35-5)&gt;=('Özet'!$C$6+7*17)),AND(N(INDEX('İzin Planı'!$L$6:$L$35,35-5))&gt;0,INDEX('İzin Planı'!$L$6:$L$35,35-5)&lt;=('Özet'!$C$6+7*17)+6,INDEX('İzin Planı'!$M$6:$M$35,35-5)&gt;=('Özet'!$C$6+7*17))),"İ",""))</f>
      </c>
      <c r="U35" s="13">
        <f>IF(INDEX('İzin Planı'!$C$6:$C$35,35-5)="","",IF(OR(AND(N(INDEX('İzin Planı'!$F$6:$F$35,35-5))&gt;0,INDEX('İzin Planı'!$F$6:$F$35,35-5)&lt;=('Özet'!$C$6+7*18)+6,INDEX('İzin Planı'!$G$6:$G$35,35-5)&gt;=('Özet'!$C$6+7*18)),AND(N(INDEX('İzin Planı'!$I$6:$I$35,35-5))&gt;0,INDEX('İzin Planı'!$I$6:$I$35,35-5)&lt;=('Özet'!$C$6+7*18)+6,INDEX('İzin Planı'!$J$6:$J$35,35-5)&gt;=('Özet'!$C$6+7*18)),AND(N(INDEX('İzin Planı'!$L$6:$L$35,35-5))&gt;0,INDEX('İzin Planı'!$L$6:$L$35,35-5)&lt;=('Özet'!$C$6+7*18)+6,INDEX('İzin Planı'!$M$6:$M$35,35-5)&gt;=('Özet'!$C$6+7*18))),"İ",""))</f>
      </c>
      <c r="V35" s="13">
        <f>IF(INDEX('İzin Planı'!$C$6:$C$35,35-5)="","",IF(OR(AND(N(INDEX('İzin Planı'!$F$6:$F$35,35-5))&gt;0,INDEX('İzin Planı'!$F$6:$F$35,35-5)&lt;=('Özet'!$C$6+7*19)+6,INDEX('İzin Planı'!$G$6:$G$35,35-5)&gt;=('Özet'!$C$6+7*19)),AND(N(INDEX('İzin Planı'!$I$6:$I$35,35-5))&gt;0,INDEX('İzin Planı'!$I$6:$I$35,35-5)&lt;=('Özet'!$C$6+7*19)+6,INDEX('İzin Planı'!$J$6:$J$35,35-5)&gt;=('Özet'!$C$6+7*19)),AND(N(INDEX('İzin Planı'!$L$6:$L$35,35-5))&gt;0,INDEX('İzin Planı'!$L$6:$L$35,35-5)&lt;=('Özet'!$C$6+7*19)+6,INDEX('İzin Planı'!$M$6:$M$35,35-5)&gt;=('Özet'!$C$6+7*19))),"İ",""))</f>
      </c>
      <c r="W35" s="13">
        <f>IF(INDEX('İzin Planı'!$C$6:$C$35,35-5)="","",IF(OR(AND(N(INDEX('İzin Planı'!$F$6:$F$35,35-5))&gt;0,INDEX('İzin Planı'!$F$6:$F$35,35-5)&lt;=('Özet'!$C$6+7*20)+6,INDEX('İzin Planı'!$G$6:$G$35,35-5)&gt;=('Özet'!$C$6+7*20)),AND(N(INDEX('İzin Planı'!$I$6:$I$35,35-5))&gt;0,INDEX('İzin Planı'!$I$6:$I$35,35-5)&lt;=('Özet'!$C$6+7*20)+6,INDEX('İzin Planı'!$J$6:$J$35,35-5)&gt;=('Özet'!$C$6+7*20)),AND(N(INDEX('İzin Planı'!$L$6:$L$35,35-5))&gt;0,INDEX('İzin Planı'!$L$6:$L$35,35-5)&lt;=('Özet'!$C$6+7*20)+6,INDEX('İzin Planı'!$M$6:$M$35,35-5)&gt;=('Özet'!$C$6+7*20))),"İ",""))</f>
      </c>
      <c r="X35" s="13">
        <f>IF(INDEX('İzin Planı'!$C$6:$C$35,35-5)="","",IF(OR(AND(N(INDEX('İzin Planı'!$F$6:$F$35,35-5))&gt;0,INDEX('İzin Planı'!$F$6:$F$35,35-5)&lt;=('Özet'!$C$6+7*21)+6,INDEX('İzin Planı'!$G$6:$G$35,35-5)&gt;=('Özet'!$C$6+7*21)),AND(N(INDEX('İzin Planı'!$I$6:$I$35,35-5))&gt;0,INDEX('İzin Planı'!$I$6:$I$35,35-5)&lt;=('Özet'!$C$6+7*21)+6,INDEX('İzin Planı'!$J$6:$J$35,35-5)&gt;=('Özet'!$C$6+7*21)),AND(N(INDEX('İzin Planı'!$L$6:$L$35,35-5))&gt;0,INDEX('İzin Planı'!$L$6:$L$35,35-5)&lt;=('Özet'!$C$6+7*21)+6,INDEX('İzin Planı'!$M$6:$M$35,35-5)&gt;=('Özet'!$C$6+7*21))),"İ",""))</f>
      </c>
      <c r="Y35" s="13">
        <f>IF(INDEX('İzin Planı'!$C$6:$C$35,35-5)="","",IF(OR(AND(N(INDEX('İzin Planı'!$F$6:$F$35,35-5))&gt;0,INDEX('İzin Planı'!$F$6:$F$35,35-5)&lt;=('Özet'!$C$6+7*22)+6,INDEX('İzin Planı'!$G$6:$G$35,35-5)&gt;=('Özet'!$C$6+7*22)),AND(N(INDEX('İzin Planı'!$I$6:$I$35,35-5))&gt;0,INDEX('İzin Planı'!$I$6:$I$35,35-5)&lt;=('Özet'!$C$6+7*22)+6,INDEX('İzin Planı'!$J$6:$J$35,35-5)&gt;=('Özet'!$C$6+7*22)),AND(N(INDEX('İzin Planı'!$L$6:$L$35,35-5))&gt;0,INDEX('İzin Planı'!$L$6:$L$35,35-5)&lt;=('Özet'!$C$6+7*22)+6,INDEX('İzin Planı'!$M$6:$M$35,35-5)&gt;=('Özet'!$C$6+7*22))),"İ",""))</f>
      </c>
      <c r="Z35" s="13">
        <f>IF(INDEX('İzin Planı'!$C$6:$C$35,35-5)="","",IF(OR(AND(N(INDEX('İzin Planı'!$F$6:$F$35,35-5))&gt;0,INDEX('İzin Planı'!$F$6:$F$35,35-5)&lt;=('Özet'!$C$6+7*23)+6,INDEX('İzin Planı'!$G$6:$G$35,35-5)&gt;=('Özet'!$C$6+7*23)),AND(N(INDEX('İzin Planı'!$I$6:$I$35,35-5))&gt;0,INDEX('İzin Planı'!$I$6:$I$35,35-5)&lt;=('Özet'!$C$6+7*23)+6,INDEX('İzin Planı'!$J$6:$J$35,35-5)&gt;=('Özet'!$C$6+7*23)),AND(N(INDEX('İzin Planı'!$L$6:$L$35,35-5))&gt;0,INDEX('İzin Planı'!$L$6:$L$35,35-5)&lt;=('Özet'!$C$6+7*23)+6,INDEX('İzin Planı'!$M$6:$M$35,35-5)&gt;=('Özet'!$C$6+7*23))),"İ",""))</f>
      </c>
      <c r="AA35" s="13">
        <f>IF(INDEX('İzin Planı'!$C$6:$C$35,35-5)="","",IF(OR(AND(N(INDEX('İzin Planı'!$F$6:$F$35,35-5))&gt;0,INDEX('İzin Planı'!$F$6:$F$35,35-5)&lt;=('Özet'!$C$6+7*24)+6,INDEX('İzin Planı'!$G$6:$G$35,35-5)&gt;=('Özet'!$C$6+7*24)),AND(N(INDEX('İzin Planı'!$I$6:$I$35,35-5))&gt;0,INDEX('İzin Planı'!$I$6:$I$35,35-5)&lt;=('Özet'!$C$6+7*24)+6,INDEX('İzin Planı'!$J$6:$J$35,35-5)&gt;=('Özet'!$C$6+7*24)),AND(N(INDEX('İzin Planı'!$L$6:$L$35,35-5))&gt;0,INDEX('İzin Planı'!$L$6:$L$35,35-5)&lt;=('Özet'!$C$6+7*24)+6,INDEX('İzin Planı'!$M$6:$M$35,35-5)&gt;=('Özet'!$C$6+7*24))),"İ",""))</f>
      </c>
      <c r="AB35" s="13">
        <f>IF(INDEX('İzin Planı'!$C$6:$C$35,35-5)="","",IF(OR(AND(N(INDEX('İzin Planı'!$F$6:$F$35,35-5))&gt;0,INDEX('İzin Planı'!$F$6:$F$35,35-5)&lt;=('Özet'!$C$6+7*25)+6,INDEX('İzin Planı'!$G$6:$G$35,35-5)&gt;=('Özet'!$C$6+7*25)),AND(N(INDEX('İzin Planı'!$I$6:$I$35,35-5))&gt;0,INDEX('İzin Planı'!$I$6:$I$35,35-5)&lt;=('Özet'!$C$6+7*25)+6,INDEX('İzin Planı'!$J$6:$J$35,35-5)&gt;=('Özet'!$C$6+7*25)),AND(N(INDEX('İzin Planı'!$L$6:$L$35,35-5))&gt;0,INDEX('İzin Planı'!$L$6:$L$35,35-5)&lt;=('Özet'!$C$6+7*25)+6,INDEX('İzin Planı'!$M$6:$M$35,35-5)&gt;=('Özet'!$C$6+7*25))),"İ",""))</f>
      </c>
      <c r="AC35" s="13">
        <f>IF(INDEX('İzin Planı'!$C$6:$C$35,35-5)="","",IF(OR(AND(N(INDEX('İzin Planı'!$F$6:$F$35,35-5))&gt;0,INDEX('İzin Planı'!$F$6:$F$35,35-5)&lt;=('Özet'!$C$6+7*26)+6,INDEX('İzin Planı'!$G$6:$G$35,35-5)&gt;=('Özet'!$C$6+7*26)),AND(N(INDEX('İzin Planı'!$I$6:$I$35,35-5))&gt;0,INDEX('İzin Planı'!$I$6:$I$35,35-5)&lt;=('Özet'!$C$6+7*26)+6,INDEX('İzin Planı'!$J$6:$J$35,35-5)&gt;=('Özet'!$C$6+7*26)),AND(N(INDEX('İzin Planı'!$L$6:$L$35,35-5))&gt;0,INDEX('İzin Planı'!$L$6:$L$35,35-5)&lt;=('Özet'!$C$6+7*26)+6,INDEX('İzin Planı'!$M$6:$M$35,35-5)&gt;=('Özet'!$C$6+7*26))),"İ",""))</f>
      </c>
      <c r="AD35" s="13">
        <f>IF(INDEX('İzin Planı'!$C$6:$C$35,35-5)="","",IF(OR(AND(N(INDEX('İzin Planı'!$F$6:$F$35,35-5))&gt;0,INDEX('İzin Planı'!$F$6:$F$35,35-5)&lt;=('Özet'!$C$6+7*27)+6,INDEX('İzin Planı'!$G$6:$G$35,35-5)&gt;=('Özet'!$C$6+7*27)),AND(N(INDEX('İzin Planı'!$I$6:$I$35,35-5))&gt;0,INDEX('İzin Planı'!$I$6:$I$35,35-5)&lt;=('Özet'!$C$6+7*27)+6,INDEX('İzin Planı'!$J$6:$J$35,35-5)&gt;=('Özet'!$C$6+7*27)),AND(N(INDEX('İzin Planı'!$L$6:$L$35,35-5))&gt;0,INDEX('İzin Planı'!$L$6:$L$35,35-5)&lt;=('Özet'!$C$6+7*27)+6,INDEX('İzin Planı'!$M$6:$M$35,35-5)&gt;=('Özet'!$C$6+7*27))),"İ",""))</f>
      </c>
      <c r="AE35" s="13">
        <f>IF(INDEX('İzin Planı'!$C$6:$C$35,35-5)="","",IF(OR(AND(N(INDEX('İzin Planı'!$F$6:$F$35,35-5))&gt;0,INDEX('İzin Planı'!$F$6:$F$35,35-5)&lt;=('Özet'!$C$6+7*28)+6,INDEX('İzin Planı'!$G$6:$G$35,35-5)&gt;=('Özet'!$C$6+7*28)),AND(N(INDEX('İzin Planı'!$I$6:$I$35,35-5))&gt;0,INDEX('İzin Planı'!$I$6:$I$35,35-5)&lt;=('Özet'!$C$6+7*28)+6,INDEX('İzin Planı'!$J$6:$J$35,35-5)&gt;=('Özet'!$C$6+7*28)),AND(N(INDEX('İzin Planı'!$L$6:$L$35,35-5))&gt;0,INDEX('İzin Planı'!$L$6:$L$35,35-5)&lt;=('Özet'!$C$6+7*28)+6,INDEX('İzin Planı'!$M$6:$M$35,35-5)&gt;=('Özet'!$C$6+7*28))),"İ",""))</f>
      </c>
      <c r="AF35" s="13">
        <f>IF(INDEX('İzin Planı'!$C$6:$C$35,35-5)="","",IF(OR(AND(N(INDEX('İzin Planı'!$F$6:$F$35,35-5))&gt;0,INDEX('İzin Planı'!$F$6:$F$35,35-5)&lt;=('Özet'!$C$6+7*29)+6,INDEX('İzin Planı'!$G$6:$G$35,35-5)&gt;=('Özet'!$C$6+7*29)),AND(N(INDEX('İzin Planı'!$I$6:$I$35,35-5))&gt;0,INDEX('İzin Planı'!$I$6:$I$35,35-5)&lt;=('Özet'!$C$6+7*29)+6,INDEX('İzin Planı'!$J$6:$J$35,35-5)&gt;=('Özet'!$C$6+7*29)),AND(N(INDEX('İzin Planı'!$L$6:$L$35,35-5))&gt;0,INDEX('İzin Planı'!$L$6:$L$35,35-5)&lt;=('Özet'!$C$6+7*29)+6,INDEX('İzin Planı'!$M$6:$M$35,35-5)&gt;=('Özet'!$C$6+7*29))),"İ",""))</f>
      </c>
      <c r="AG35" s="13">
        <f>IF(INDEX('İzin Planı'!$C$6:$C$35,35-5)="","",IF(OR(AND(N(INDEX('İzin Planı'!$F$6:$F$35,35-5))&gt;0,INDEX('İzin Planı'!$F$6:$F$35,35-5)&lt;=('Özet'!$C$6+7*30)+6,INDEX('İzin Planı'!$G$6:$G$35,35-5)&gt;=('Özet'!$C$6+7*30)),AND(N(INDEX('İzin Planı'!$I$6:$I$35,35-5))&gt;0,INDEX('İzin Planı'!$I$6:$I$35,35-5)&lt;=('Özet'!$C$6+7*30)+6,INDEX('İzin Planı'!$J$6:$J$35,35-5)&gt;=('Özet'!$C$6+7*30)),AND(N(INDEX('İzin Planı'!$L$6:$L$35,35-5))&gt;0,INDEX('İzin Planı'!$L$6:$L$35,35-5)&lt;=('Özet'!$C$6+7*30)+6,INDEX('İzin Planı'!$M$6:$M$35,35-5)&gt;=('Özet'!$C$6+7*30))),"İ",""))</f>
      </c>
      <c r="AH35" s="13">
        <f>IF(INDEX('İzin Planı'!$C$6:$C$35,35-5)="","",IF(OR(AND(N(INDEX('İzin Planı'!$F$6:$F$35,35-5))&gt;0,INDEX('İzin Planı'!$F$6:$F$35,35-5)&lt;=('Özet'!$C$6+7*31)+6,INDEX('İzin Planı'!$G$6:$G$35,35-5)&gt;=('Özet'!$C$6+7*31)),AND(N(INDEX('İzin Planı'!$I$6:$I$35,35-5))&gt;0,INDEX('İzin Planı'!$I$6:$I$35,35-5)&lt;=('Özet'!$C$6+7*31)+6,INDEX('İzin Planı'!$J$6:$J$35,35-5)&gt;=('Özet'!$C$6+7*31)),AND(N(INDEX('İzin Planı'!$L$6:$L$35,35-5))&gt;0,INDEX('İzin Planı'!$L$6:$L$35,35-5)&lt;=('Özet'!$C$6+7*31)+6,INDEX('İzin Planı'!$M$6:$M$35,35-5)&gt;=('Özet'!$C$6+7*31))),"İ",""))</f>
      </c>
      <c r="AI35" s="13">
        <f>IF(INDEX('İzin Planı'!$C$6:$C$35,35-5)="","",IF(OR(AND(N(INDEX('İzin Planı'!$F$6:$F$35,35-5))&gt;0,INDEX('İzin Planı'!$F$6:$F$35,35-5)&lt;=('Özet'!$C$6+7*32)+6,INDEX('İzin Planı'!$G$6:$G$35,35-5)&gt;=('Özet'!$C$6+7*32)),AND(N(INDEX('İzin Planı'!$I$6:$I$35,35-5))&gt;0,INDEX('İzin Planı'!$I$6:$I$35,35-5)&lt;=('Özet'!$C$6+7*32)+6,INDEX('İzin Planı'!$J$6:$J$35,35-5)&gt;=('Özet'!$C$6+7*32)),AND(N(INDEX('İzin Planı'!$L$6:$L$35,35-5))&gt;0,INDEX('İzin Planı'!$L$6:$L$35,35-5)&lt;=('Özet'!$C$6+7*32)+6,INDEX('İzin Planı'!$M$6:$M$35,35-5)&gt;=('Özet'!$C$6+7*32))),"İ",""))</f>
      </c>
      <c r="AJ35" s="13">
        <f>IF(INDEX('İzin Planı'!$C$6:$C$35,35-5)="","",IF(OR(AND(N(INDEX('İzin Planı'!$F$6:$F$35,35-5))&gt;0,INDEX('İzin Planı'!$F$6:$F$35,35-5)&lt;=('Özet'!$C$6+7*33)+6,INDEX('İzin Planı'!$G$6:$G$35,35-5)&gt;=('Özet'!$C$6+7*33)),AND(N(INDEX('İzin Planı'!$I$6:$I$35,35-5))&gt;0,INDEX('İzin Planı'!$I$6:$I$35,35-5)&lt;=('Özet'!$C$6+7*33)+6,INDEX('İzin Planı'!$J$6:$J$35,35-5)&gt;=('Özet'!$C$6+7*33)),AND(N(INDEX('İzin Planı'!$L$6:$L$35,35-5))&gt;0,INDEX('İzin Planı'!$L$6:$L$35,35-5)&lt;=('Özet'!$C$6+7*33)+6,INDEX('İzin Planı'!$M$6:$M$35,35-5)&gt;=('Özet'!$C$6+7*33))),"İ",""))</f>
      </c>
      <c r="AK35" s="13">
        <f>IF(INDEX('İzin Planı'!$C$6:$C$35,35-5)="","",IF(OR(AND(N(INDEX('İzin Planı'!$F$6:$F$35,35-5))&gt;0,INDEX('İzin Planı'!$F$6:$F$35,35-5)&lt;=('Özet'!$C$6+7*34)+6,INDEX('İzin Planı'!$G$6:$G$35,35-5)&gt;=('Özet'!$C$6+7*34)),AND(N(INDEX('İzin Planı'!$I$6:$I$35,35-5))&gt;0,INDEX('İzin Planı'!$I$6:$I$35,35-5)&lt;=('Özet'!$C$6+7*34)+6,INDEX('İzin Planı'!$J$6:$J$35,35-5)&gt;=('Özet'!$C$6+7*34)),AND(N(INDEX('İzin Planı'!$L$6:$L$35,35-5))&gt;0,INDEX('İzin Planı'!$L$6:$L$35,35-5)&lt;=('Özet'!$C$6+7*34)+6,INDEX('İzin Planı'!$M$6:$M$35,35-5)&gt;=('Özet'!$C$6+7*34))),"İ",""))</f>
      </c>
      <c r="AL35" s="13">
        <f>IF(INDEX('İzin Planı'!$C$6:$C$35,35-5)="","",IF(OR(AND(N(INDEX('İzin Planı'!$F$6:$F$35,35-5))&gt;0,INDEX('İzin Planı'!$F$6:$F$35,35-5)&lt;=('Özet'!$C$6+7*35)+6,INDEX('İzin Planı'!$G$6:$G$35,35-5)&gt;=('Özet'!$C$6+7*35)),AND(N(INDEX('İzin Planı'!$I$6:$I$35,35-5))&gt;0,INDEX('İzin Planı'!$I$6:$I$35,35-5)&lt;=('Özet'!$C$6+7*35)+6,INDEX('İzin Planı'!$J$6:$J$35,35-5)&gt;=('Özet'!$C$6+7*35)),AND(N(INDEX('İzin Planı'!$L$6:$L$35,35-5))&gt;0,INDEX('İzin Planı'!$L$6:$L$35,35-5)&lt;=('Özet'!$C$6+7*35)+6,INDEX('İzin Planı'!$M$6:$M$35,35-5)&gt;=('Özet'!$C$6+7*35))),"İ",""))</f>
      </c>
      <c r="AM35" s="13">
        <f>IF(INDEX('İzin Planı'!$C$6:$C$35,35-5)="","",IF(OR(AND(N(INDEX('İzin Planı'!$F$6:$F$35,35-5))&gt;0,INDEX('İzin Planı'!$F$6:$F$35,35-5)&lt;=('Özet'!$C$6+7*36)+6,INDEX('İzin Planı'!$G$6:$G$35,35-5)&gt;=('Özet'!$C$6+7*36)),AND(N(INDEX('İzin Planı'!$I$6:$I$35,35-5))&gt;0,INDEX('İzin Planı'!$I$6:$I$35,35-5)&lt;=('Özet'!$C$6+7*36)+6,INDEX('İzin Planı'!$J$6:$J$35,35-5)&gt;=('Özet'!$C$6+7*36)),AND(N(INDEX('İzin Planı'!$L$6:$L$35,35-5))&gt;0,INDEX('İzin Planı'!$L$6:$L$35,35-5)&lt;=('Özet'!$C$6+7*36)+6,INDEX('İzin Planı'!$M$6:$M$35,35-5)&gt;=('Özet'!$C$6+7*36))),"İ",""))</f>
      </c>
      <c r="AN35" s="13">
        <f>IF(INDEX('İzin Planı'!$C$6:$C$35,35-5)="","",IF(OR(AND(N(INDEX('İzin Planı'!$F$6:$F$35,35-5))&gt;0,INDEX('İzin Planı'!$F$6:$F$35,35-5)&lt;=('Özet'!$C$6+7*37)+6,INDEX('İzin Planı'!$G$6:$G$35,35-5)&gt;=('Özet'!$C$6+7*37)),AND(N(INDEX('İzin Planı'!$I$6:$I$35,35-5))&gt;0,INDEX('İzin Planı'!$I$6:$I$35,35-5)&lt;=('Özet'!$C$6+7*37)+6,INDEX('İzin Planı'!$J$6:$J$35,35-5)&gt;=('Özet'!$C$6+7*37)),AND(N(INDEX('İzin Planı'!$L$6:$L$35,35-5))&gt;0,INDEX('İzin Planı'!$L$6:$L$35,35-5)&lt;=('Özet'!$C$6+7*37)+6,INDEX('İzin Planı'!$M$6:$M$35,35-5)&gt;=('Özet'!$C$6+7*37))),"İ",""))</f>
      </c>
      <c r="AO35" s="13">
        <f>IF(INDEX('İzin Planı'!$C$6:$C$35,35-5)="","",IF(OR(AND(N(INDEX('İzin Planı'!$F$6:$F$35,35-5))&gt;0,INDEX('İzin Planı'!$F$6:$F$35,35-5)&lt;=('Özet'!$C$6+7*38)+6,INDEX('İzin Planı'!$G$6:$G$35,35-5)&gt;=('Özet'!$C$6+7*38)),AND(N(INDEX('İzin Planı'!$I$6:$I$35,35-5))&gt;0,INDEX('İzin Planı'!$I$6:$I$35,35-5)&lt;=('Özet'!$C$6+7*38)+6,INDEX('İzin Planı'!$J$6:$J$35,35-5)&gt;=('Özet'!$C$6+7*38)),AND(N(INDEX('İzin Planı'!$L$6:$L$35,35-5))&gt;0,INDEX('İzin Planı'!$L$6:$L$35,35-5)&lt;=('Özet'!$C$6+7*38)+6,INDEX('İzin Planı'!$M$6:$M$35,35-5)&gt;=('Özet'!$C$6+7*38))),"İ",""))</f>
      </c>
      <c r="AP35" s="13">
        <f>IF(INDEX('İzin Planı'!$C$6:$C$35,35-5)="","",IF(OR(AND(N(INDEX('İzin Planı'!$F$6:$F$35,35-5))&gt;0,INDEX('İzin Planı'!$F$6:$F$35,35-5)&lt;=('Özet'!$C$6+7*39)+6,INDEX('İzin Planı'!$G$6:$G$35,35-5)&gt;=('Özet'!$C$6+7*39)),AND(N(INDEX('İzin Planı'!$I$6:$I$35,35-5))&gt;0,INDEX('İzin Planı'!$I$6:$I$35,35-5)&lt;=('Özet'!$C$6+7*39)+6,INDEX('İzin Planı'!$J$6:$J$35,35-5)&gt;=('Özet'!$C$6+7*39)),AND(N(INDEX('İzin Planı'!$L$6:$L$35,35-5))&gt;0,INDEX('İzin Planı'!$L$6:$L$35,35-5)&lt;=('Özet'!$C$6+7*39)+6,INDEX('İzin Planı'!$M$6:$M$35,35-5)&gt;=('Özet'!$C$6+7*39))),"İ",""))</f>
      </c>
      <c r="AQ35" s="13">
        <f>IF(INDEX('İzin Planı'!$C$6:$C$35,35-5)="","",IF(OR(AND(N(INDEX('İzin Planı'!$F$6:$F$35,35-5))&gt;0,INDEX('İzin Planı'!$F$6:$F$35,35-5)&lt;=('Özet'!$C$6+7*40)+6,INDEX('İzin Planı'!$G$6:$G$35,35-5)&gt;=('Özet'!$C$6+7*40)),AND(N(INDEX('İzin Planı'!$I$6:$I$35,35-5))&gt;0,INDEX('İzin Planı'!$I$6:$I$35,35-5)&lt;=('Özet'!$C$6+7*40)+6,INDEX('İzin Planı'!$J$6:$J$35,35-5)&gt;=('Özet'!$C$6+7*40)),AND(N(INDEX('İzin Planı'!$L$6:$L$35,35-5))&gt;0,INDEX('İzin Planı'!$L$6:$L$35,35-5)&lt;=('Özet'!$C$6+7*40)+6,INDEX('İzin Planı'!$M$6:$M$35,35-5)&gt;=('Özet'!$C$6+7*40))),"İ",""))</f>
      </c>
      <c r="AR35" s="13">
        <f>IF(INDEX('İzin Planı'!$C$6:$C$35,35-5)="","",IF(OR(AND(N(INDEX('İzin Planı'!$F$6:$F$35,35-5))&gt;0,INDEX('İzin Planı'!$F$6:$F$35,35-5)&lt;=('Özet'!$C$6+7*41)+6,INDEX('İzin Planı'!$G$6:$G$35,35-5)&gt;=('Özet'!$C$6+7*41)),AND(N(INDEX('İzin Planı'!$I$6:$I$35,35-5))&gt;0,INDEX('İzin Planı'!$I$6:$I$35,35-5)&lt;=('Özet'!$C$6+7*41)+6,INDEX('İzin Planı'!$J$6:$J$35,35-5)&gt;=('Özet'!$C$6+7*41)),AND(N(INDEX('İzin Planı'!$L$6:$L$35,35-5))&gt;0,INDEX('İzin Planı'!$L$6:$L$35,35-5)&lt;=('Özet'!$C$6+7*41)+6,INDEX('İzin Planı'!$M$6:$M$35,35-5)&gt;=('Özet'!$C$6+7*41))),"İ",""))</f>
      </c>
      <c r="AS35" s="13">
        <f>IF(INDEX('İzin Planı'!$C$6:$C$35,35-5)="","",IF(OR(AND(N(INDEX('İzin Planı'!$F$6:$F$35,35-5))&gt;0,INDEX('İzin Planı'!$F$6:$F$35,35-5)&lt;=('Özet'!$C$6+7*42)+6,INDEX('İzin Planı'!$G$6:$G$35,35-5)&gt;=('Özet'!$C$6+7*42)),AND(N(INDEX('İzin Planı'!$I$6:$I$35,35-5))&gt;0,INDEX('İzin Planı'!$I$6:$I$35,35-5)&lt;=('Özet'!$C$6+7*42)+6,INDEX('İzin Planı'!$J$6:$J$35,35-5)&gt;=('Özet'!$C$6+7*42)),AND(N(INDEX('İzin Planı'!$L$6:$L$35,35-5))&gt;0,INDEX('İzin Planı'!$L$6:$L$35,35-5)&lt;=('Özet'!$C$6+7*42)+6,INDEX('İzin Planı'!$M$6:$M$35,35-5)&gt;=('Özet'!$C$6+7*42))),"İ",""))</f>
      </c>
      <c r="AT35" s="13">
        <f>IF(INDEX('İzin Planı'!$C$6:$C$35,35-5)="","",IF(OR(AND(N(INDEX('İzin Planı'!$F$6:$F$35,35-5))&gt;0,INDEX('İzin Planı'!$F$6:$F$35,35-5)&lt;=('Özet'!$C$6+7*43)+6,INDEX('İzin Planı'!$G$6:$G$35,35-5)&gt;=('Özet'!$C$6+7*43)),AND(N(INDEX('İzin Planı'!$I$6:$I$35,35-5))&gt;0,INDEX('İzin Planı'!$I$6:$I$35,35-5)&lt;=('Özet'!$C$6+7*43)+6,INDEX('İzin Planı'!$J$6:$J$35,35-5)&gt;=('Özet'!$C$6+7*43)),AND(N(INDEX('İzin Planı'!$L$6:$L$35,35-5))&gt;0,INDEX('İzin Planı'!$L$6:$L$35,35-5)&lt;=('Özet'!$C$6+7*43)+6,INDEX('İzin Planı'!$M$6:$M$35,35-5)&gt;=('Özet'!$C$6+7*43))),"İ",""))</f>
      </c>
      <c r="AU35" s="13">
        <f>IF(INDEX('İzin Planı'!$C$6:$C$35,35-5)="","",IF(OR(AND(N(INDEX('İzin Planı'!$F$6:$F$35,35-5))&gt;0,INDEX('İzin Planı'!$F$6:$F$35,35-5)&lt;=('Özet'!$C$6+7*44)+6,INDEX('İzin Planı'!$G$6:$G$35,35-5)&gt;=('Özet'!$C$6+7*44)),AND(N(INDEX('İzin Planı'!$I$6:$I$35,35-5))&gt;0,INDEX('İzin Planı'!$I$6:$I$35,35-5)&lt;=('Özet'!$C$6+7*44)+6,INDEX('İzin Planı'!$J$6:$J$35,35-5)&gt;=('Özet'!$C$6+7*44)),AND(N(INDEX('İzin Planı'!$L$6:$L$35,35-5))&gt;0,INDEX('İzin Planı'!$L$6:$L$35,35-5)&lt;=('Özet'!$C$6+7*44)+6,INDEX('İzin Planı'!$M$6:$M$35,35-5)&gt;=('Özet'!$C$6+7*44))),"İ",""))</f>
      </c>
      <c r="AV35" s="13">
        <f>IF(INDEX('İzin Planı'!$C$6:$C$35,35-5)="","",IF(OR(AND(N(INDEX('İzin Planı'!$F$6:$F$35,35-5))&gt;0,INDEX('İzin Planı'!$F$6:$F$35,35-5)&lt;=('Özet'!$C$6+7*45)+6,INDEX('İzin Planı'!$G$6:$G$35,35-5)&gt;=('Özet'!$C$6+7*45)),AND(N(INDEX('İzin Planı'!$I$6:$I$35,35-5))&gt;0,INDEX('İzin Planı'!$I$6:$I$35,35-5)&lt;=('Özet'!$C$6+7*45)+6,INDEX('İzin Planı'!$J$6:$J$35,35-5)&gt;=('Özet'!$C$6+7*45)),AND(N(INDEX('İzin Planı'!$L$6:$L$35,35-5))&gt;0,INDEX('İzin Planı'!$L$6:$L$35,35-5)&lt;=('Özet'!$C$6+7*45)+6,INDEX('İzin Planı'!$M$6:$M$35,35-5)&gt;=('Özet'!$C$6+7*45))),"İ",""))</f>
      </c>
      <c r="AW35" s="13">
        <f>IF(INDEX('İzin Planı'!$C$6:$C$35,35-5)="","",IF(OR(AND(N(INDEX('İzin Planı'!$F$6:$F$35,35-5))&gt;0,INDEX('İzin Planı'!$F$6:$F$35,35-5)&lt;=('Özet'!$C$6+7*46)+6,INDEX('İzin Planı'!$G$6:$G$35,35-5)&gt;=('Özet'!$C$6+7*46)),AND(N(INDEX('İzin Planı'!$I$6:$I$35,35-5))&gt;0,INDEX('İzin Planı'!$I$6:$I$35,35-5)&lt;=('Özet'!$C$6+7*46)+6,INDEX('İzin Planı'!$J$6:$J$35,35-5)&gt;=('Özet'!$C$6+7*46)),AND(N(INDEX('İzin Planı'!$L$6:$L$35,35-5))&gt;0,INDEX('İzin Planı'!$L$6:$L$35,35-5)&lt;=('Özet'!$C$6+7*46)+6,INDEX('İzin Planı'!$M$6:$M$35,35-5)&gt;=('Özet'!$C$6+7*46))),"İ",""))</f>
      </c>
      <c r="AX35" s="13">
        <f>IF(INDEX('İzin Planı'!$C$6:$C$35,35-5)="","",IF(OR(AND(N(INDEX('İzin Planı'!$F$6:$F$35,35-5))&gt;0,INDEX('İzin Planı'!$F$6:$F$35,35-5)&lt;=('Özet'!$C$6+7*47)+6,INDEX('İzin Planı'!$G$6:$G$35,35-5)&gt;=('Özet'!$C$6+7*47)),AND(N(INDEX('İzin Planı'!$I$6:$I$35,35-5))&gt;0,INDEX('İzin Planı'!$I$6:$I$35,35-5)&lt;=('Özet'!$C$6+7*47)+6,INDEX('İzin Planı'!$J$6:$J$35,35-5)&gt;=('Özet'!$C$6+7*47)),AND(N(INDEX('İzin Planı'!$L$6:$L$35,35-5))&gt;0,INDEX('İzin Planı'!$L$6:$L$35,35-5)&lt;=('Özet'!$C$6+7*47)+6,INDEX('İzin Planı'!$M$6:$M$35,35-5)&gt;=('Özet'!$C$6+7*47))),"İ",""))</f>
      </c>
      <c r="AY35" s="13">
        <f>IF(INDEX('İzin Planı'!$C$6:$C$35,35-5)="","",IF(OR(AND(N(INDEX('İzin Planı'!$F$6:$F$35,35-5))&gt;0,INDEX('İzin Planı'!$F$6:$F$35,35-5)&lt;=('Özet'!$C$6+7*48)+6,INDEX('İzin Planı'!$G$6:$G$35,35-5)&gt;=('Özet'!$C$6+7*48)),AND(N(INDEX('İzin Planı'!$I$6:$I$35,35-5))&gt;0,INDEX('İzin Planı'!$I$6:$I$35,35-5)&lt;=('Özet'!$C$6+7*48)+6,INDEX('İzin Planı'!$J$6:$J$35,35-5)&gt;=('Özet'!$C$6+7*48)),AND(N(INDEX('İzin Planı'!$L$6:$L$35,35-5))&gt;0,INDEX('İzin Planı'!$L$6:$L$35,35-5)&lt;=('Özet'!$C$6+7*48)+6,INDEX('İzin Planı'!$M$6:$M$35,35-5)&gt;=('Özet'!$C$6+7*48))),"İ",""))</f>
      </c>
      <c r="AZ35" s="13">
        <f>IF(INDEX('İzin Planı'!$C$6:$C$35,35-5)="","",IF(OR(AND(N(INDEX('İzin Planı'!$F$6:$F$35,35-5))&gt;0,INDEX('İzin Planı'!$F$6:$F$35,35-5)&lt;=('Özet'!$C$6+7*49)+6,INDEX('İzin Planı'!$G$6:$G$35,35-5)&gt;=('Özet'!$C$6+7*49)),AND(N(INDEX('İzin Planı'!$I$6:$I$35,35-5))&gt;0,INDEX('İzin Planı'!$I$6:$I$35,35-5)&lt;=('Özet'!$C$6+7*49)+6,INDEX('İzin Planı'!$J$6:$J$35,35-5)&gt;=('Özet'!$C$6+7*49)),AND(N(INDEX('İzin Planı'!$L$6:$L$35,35-5))&gt;0,INDEX('İzin Planı'!$L$6:$L$35,35-5)&lt;=('Özet'!$C$6+7*49)+6,INDEX('İzin Planı'!$M$6:$M$35,35-5)&gt;=('Özet'!$C$6+7*49))),"İ",""))</f>
      </c>
      <c r="BA35" s="13">
        <f>IF(INDEX('İzin Planı'!$C$6:$C$35,35-5)="","",IF(OR(AND(N(INDEX('İzin Planı'!$F$6:$F$35,35-5))&gt;0,INDEX('İzin Planı'!$F$6:$F$35,35-5)&lt;=('Özet'!$C$6+7*50)+6,INDEX('İzin Planı'!$G$6:$G$35,35-5)&gt;=('Özet'!$C$6+7*50)),AND(N(INDEX('İzin Planı'!$I$6:$I$35,35-5))&gt;0,INDEX('İzin Planı'!$I$6:$I$35,35-5)&lt;=('Özet'!$C$6+7*50)+6,INDEX('İzin Planı'!$J$6:$J$35,35-5)&gt;=('Özet'!$C$6+7*50)),AND(N(INDEX('İzin Planı'!$L$6:$L$35,35-5))&gt;0,INDEX('İzin Planı'!$L$6:$L$35,35-5)&lt;=('Özet'!$C$6+7*50)+6,INDEX('İzin Planı'!$M$6:$M$35,35-5)&gt;=('Özet'!$C$6+7*50))),"İ",""))</f>
      </c>
      <c r="BB35" s="13">
        <f>IF(INDEX('İzin Planı'!$C$6:$C$35,35-5)="","",IF(OR(AND(N(INDEX('İzin Planı'!$F$6:$F$35,35-5))&gt;0,INDEX('İzin Planı'!$F$6:$F$35,35-5)&lt;=('Özet'!$C$6+7*51)+6,INDEX('İzin Planı'!$G$6:$G$35,35-5)&gt;=('Özet'!$C$6+7*51)),AND(N(INDEX('İzin Planı'!$I$6:$I$35,35-5))&gt;0,INDEX('İzin Planı'!$I$6:$I$35,35-5)&lt;=('Özet'!$C$6+7*51)+6,INDEX('İzin Planı'!$J$6:$J$35,35-5)&gt;=('Özet'!$C$6+7*51)),AND(N(INDEX('İzin Planı'!$L$6:$L$35,35-5))&gt;0,INDEX('İzin Planı'!$L$6:$L$35,35-5)&lt;=('Özet'!$C$6+7*51)+6,INDEX('İzin Planı'!$M$6:$M$35,35-5)&gt;=('Özet'!$C$6+7*51))),"İ",""))</f>
      </c>
      <c r="BC35" s="13">
        <f>IF(INDEX('İzin Planı'!$C$6:$C$35,35-5)="","",IF(OR(AND(N(INDEX('İzin Planı'!$F$6:$F$35,35-5))&gt;0,INDEX('İzin Planı'!$F$6:$F$35,35-5)&lt;=('Özet'!$C$6+7*52)+6,INDEX('İzin Planı'!$G$6:$G$35,35-5)&gt;=('Özet'!$C$6+7*52)),AND(N(INDEX('İzin Planı'!$I$6:$I$35,35-5))&gt;0,INDEX('İzin Planı'!$I$6:$I$35,35-5)&lt;=('Özet'!$C$6+7*52)+6,INDEX('İzin Planı'!$J$6:$J$35,35-5)&gt;=('Özet'!$C$6+7*52)),AND(N(INDEX('İzin Planı'!$L$6:$L$35,35-5))&gt;0,INDEX('İzin Planı'!$L$6:$L$35,35-5)&lt;=('Özet'!$C$6+7*52)+6,INDEX('İzin Planı'!$M$6:$M$35,35-5)&gt;=('Özet'!$C$6+7*52))),"İ",""))</f>
      </c>
    </row>
    <row r="36" ht="22" customHeight="1" spans="1:55" x14ac:dyDescent="0.25">
      <c r="A36" s="17" t="s">
        <v>96</v>
      </c>
      <c r="B36" s="17"/>
      <c r="C36" s="17">
        <f>COUNTIF(C6:C35,"İ")</f>
      </c>
      <c r="D36" s="17">
        <f>COUNTIF(D6:D35,"İ")</f>
      </c>
      <c r="E36" s="17">
        <f>COUNTIF(E6:E35,"İ")</f>
      </c>
      <c r="F36" s="17">
        <f>COUNTIF(F6:F35,"İ")</f>
      </c>
      <c r="G36" s="17">
        <f>COUNTIF(G6:G35,"İ")</f>
      </c>
      <c r="H36" s="17">
        <f>COUNTIF(H6:H35,"İ")</f>
      </c>
      <c r="I36" s="17">
        <f>COUNTIF(I6:I35,"İ")</f>
      </c>
      <c r="J36" s="17">
        <f>COUNTIF(J6:J35,"İ")</f>
      </c>
      <c r="K36" s="17">
        <f>COUNTIF(K6:K35,"İ")</f>
      </c>
      <c r="L36" s="17">
        <f>COUNTIF(L6:L35,"İ")</f>
      </c>
      <c r="M36" s="17">
        <f>COUNTIF(M6:M35,"İ")</f>
      </c>
      <c r="N36" s="17">
        <f>COUNTIF(N6:N35,"İ")</f>
      </c>
      <c r="O36" s="17">
        <f>COUNTIF(O6:O35,"İ")</f>
      </c>
      <c r="P36" s="17">
        <f>COUNTIF(P6:P35,"İ")</f>
      </c>
      <c r="Q36" s="17">
        <f>COUNTIF(Q6:Q35,"İ")</f>
      </c>
      <c r="R36" s="17">
        <f>COUNTIF(R6:R35,"İ")</f>
      </c>
      <c r="S36" s="17">
        <f>COUNTIF(S6:S35,"İ")</f>
      </c>
      <c r="T36" s="17">
        <f>COUNTIF(T6:T35,"İ")</f>
      </c>
      <c r="U36" s="17">
        <f>COUNTIF(U6:U35,"İ")</f>
      </c>
      <c r="V36" s="17">
        <f>COUNTIF(V6:V35,"İ")</f>
      </c>
      <c r="W36" s="17">
        <f>COUNTIF(W6:W35,"İ")</f>
      </c>
      <c r="X36" s="17">
        <f>COUNTIF(X6:X35,"İ")</f>
      </c>
      <c r="Y36" s="17">
        <f>COUNTIF(Y6:Y35,"İ")</f>
      </c>
      <c r="Z36" s="17">
        <f>COUNTIF(Z6:Z35,"İ")</f>
      </c>
      <c r="AA36" s="17">
        <f>COUNTIF(AA6:AA35,"İ")</f>
      </c>
      <c r="AB36" s="17">
        <f>COUNTIF(AB6:AB35,"İ")</f>
      </c>
      <c r="AC36" s="17">
        <f>COUNTIF(AC6:AC35,"İ")</f>
      </c>
      <c r="AD36" s="17">
        <f>COUNTIF(AD6:AD35,"İ")</f>
      </c>
      <c r="AE36" s="17">
        <f>COUNTIF(AE6:AE35,"İ")</f>
      </c>
      <c r="AF36" s="17">
        <f>COUNTIF(AF6:AF35,"İ")</f>
      </c>
      <c r="AG36" s="17">
        <f>COUNTIF(AG6:AG35,"İ")</f>
      </c>
      <c r="AH36" s="17">
        <f>COUNTIF(AH6:AH35,"İ")</f>
      </c>
      <c r="AI36" s="17">
        <f>COUNTIF(AI6:AI35,"İ")</f>
      </c>
      <c r="AJ36" s="17">
        <f>COUNTIF(AJ6:AJ35,"İ")</f>
      </c>
      <c r="AK36" s="17">
        <f>COUNTIF(AK6:AK35,"İ")</f>
      </c>
      <c r="AL36" s="17">
        <f>COUNTIF(AL6:AL35,"İ")</f>
      </c>
      <c r="AM36" s="17">
        <f>COUNTIF(AM6:AM35,"İ")</f>
      </c>
      <c r="AN36" s="17">
        <f>COUNTIF(AN6:AN35,"İ")</f>
      </c>
      <c r="AO36" s="17">
        <f>COUNTIF(AO6:AO35,"İ")</f>
      </c>
      <c r="AP36" s="17">
        <f>COUNTIF(AP6:AP35,"İ")</f>
      </c>
      <c r="AQ36" s="17">
        <f>COUNTIF(AQ6:AQ35,"İ")</f>
      </c>
      <c r="AR36" s="17">
        <f>COUNTIF(AR6:AR35,"İ")</f>
      </c>
      <c r="AS36" s="17">
        <f>COUNTIF(AS6:AS35,"İ")</f>
      </c>
      <c r="AT36" s="17">
        <f>COUNTIF(AT6:AT35,"İ")</f>
      </c>
      <c r="AU36" s="17">
        <f>COUNTIF(AU6:AU35,"İ")</f>
      </c>
      <c r="AV36" s="17">
        <f>COUNTIF(AV6:AV35,"İ")</f>
      </c>
      <c r="AW36" s="17">
        <f>COUNTIF(AW6:AW35,"İ")</f>
      </c>
      <c r="AX36" s="17">
        <f>COUNTIF(AX6:AX35,"İ")</f>
      </c>
      <c r="AY36" s="17">
        <f>COUNTIF(AY6:AY35,"İ")</f>
      </c>
      <c r="AZ36" s="17">
        <f>COUNTIF(AZ6:AZ35,"İ")</f>
      </c>
      <c r="BA36" s="17">
        <f>COUNTIF(BA6:BA35,"İ")</f>
      </c>
      <c r="BB36" s="17">
        <f>COUNTIF(BB6:BB35,"İ")</f>
      </c>
      <c r="BC36" s="17">
        <f>COUNTIF(BC6:BC35,"İ")</f>
      </c>
    </row>
  </sheetData>
  <autoFilter ref="A5:BC5"/>
  <conditionalFormatting sqref="C6:C35">
    <cfRule type="expression" dxfId="8" priority="1">
      <formula>AND(C6="İ",COUNTIF(C$6:C$35,"İ")&lt;='Özet'!$C$9)</formula>
    </cfRule>
  </conditionalFormatting>
  <conditionalFormatting sqref="C6:C35">
    <cfRule type="expression" dxfId="9" priority="1">
      <formula>AND(C6="İ",COUNTIF(C$6:C$35,"İ")&gt;'Özet'!$C$9)</formula>
    </cfRule>
  </conditionalFormatting>
  <conditionalFormatting sqref="D6:D35">
    <cfRule type="expression" dxfId="10" priority="1">
      <formula>AND(D6="İ",COUNTIF(D$6:D$35,"İ")&lt;='Özet'!$C$9)</formula>
    </cfRule>
  </conditionalFormatting>
  <conditionalFormatting sqref="D6:D35">
    <cfRule type="expression" dxfId="11" priority="1">
      <formula>AND(D6="İ",COUNTIF(D$6:D$35,"İ")&gt;'Özet'!$C$9)</formula>
    </cfRule>
  </conditionalFormatting>
  <conditionalFormatting sqref="E6:E35">
    <cfRule type="expression" dxfId="12" priority="1">
      <formula>AND(E6="İ",COUNTIF(E$6:E$35,"İ")&lt;='Özet'!$C$9)</formula>
    </cfRule>
  </conditionalFormatting>
  <conditionalFormatting sqref="E6:E35">
    <cfRule type="expression" dxfId="13" priority="1">
      <formula>AND(E6="İ",COUNTIF(E$6:E$35,"İ")&gt;'Özet'!$C$9)</formula>
    </cfRule>
  </conditionalFormatting>
  <conditionalFormatting sqref="F6:F35">
    <cfRule type="expression" dxfId="14" priority="1">
      <formula>AND(F6="İ",COUNTIF(F$6:F$35,"İ")&lt;='Özet'!$C$9)</formula>
    </cfRule>
  </conditionalFormatting>
  <conditionalFormatting sqref="F6:F35">
    <cfRule type="expression" dxfId="15" priority="1">
      <formula>AND(F6="İ",COUNTIF(F$6:F$35,"İ")&gt;'Özet'!$C$9)</formula>
    </cfRule>
  </conditionalFormatting>
  <conditionalFormatting sqref="G6:G35">
    <cfRule type="expression" dxfId="16" priority="1">
      <formula>AND(G6="İ",COUNTIF(G$6:G$35,"İ")&lt;='Özet'!$C$9)</formula>
    </cfRule>
  </conditionalFormatting>
  <conditionalFormatting sqref="G6:G35">
    <cfRule type="expression" dxfId="17" priority="1">
      <formula>AND(G6="İ",COUNTIF(G$6:G$35,"İ")&gt;'Özet'!$C$9)</formula>
    </cfRule>
  </conditionalFormatting>
  <conditionalFormatting sqref="H6:H35">
    <cfRule type="expression" dxfId="18" priority="1">
      <formula>AND(H6="İ",COUNTIF(H$6:H$35,"İ")&lt;='Özet'!$C$9)</formula>
    </cfRule>
  </conditionalFormatting>
  <conditionalFormatting sqref="H6:H35">
    <cfRule type="expression" dxfId="19" priority="1">
      <formula>AND(H6="İ",COUNTIF(H$6:H$35,"İ")&gt;'Özet'!$C$9)</formula>
    </cfRule>
  </conditionalFormatting>
  <conditionalFormatting sqref="I6:I35">
    <cfRule type="expression" dxfId="20" priority="1">
      <formula>AND(I6="İ",COUNTIF(I$6:I$35,"İ")&lt;='Özet'!$C$9)</formula>
    </cfRule>
  </conditionalFormatting>
  <conditionalFormatting sqref="I6:I35">
    <cfRule type="expression" dxfId="21" priority="1">
      <formula>AND(I6="İ",COUNTIF(I$6:I$35,"İ")&gt;'Özet'!$C$9)</formula>
    </cfRule>
  </conditionalFormatting>
  <conditionalFormatting sqref="J6:J35">
    <cfRule type="expression" dxfId="22" priority="1">
      <formula>AND(J6="İ",COUNTIF(J$6:J$35,"İ")&lt;='Özet'!$C$9)</formula>
    </cfRule>
  </conditionalFormatting>
  <conditionalFormatting sqref="J6:J35">
    <cfRule type="expression" dxfId="23" priority="1">
      <formula>AND(J6="İ",COUNTIF(J$6:J$35,"İ")&gt;'Özet'!$C$9)</formula>
    </cfRule>
  </conditionalFormatting>
  <conditionalFormatting sqref="K6:K35">
    <cfRule type="expression" dxfId="24" priority="1">
      <formula>AND(K6="İ",COUNTIF(K$6:K$35,"İ")&lt;='Özet'!$C$9)</formula>
    </cfRule>
  </conditionalFormatting>
  <conditionalFormatting sqref="K6:K35">
    <cfRule type="expression" dxfId="25" priority="1">
      <formula>AND(K6="İ",COUNTIF(K$6:K$35,"İ")&gt;'Özet'!$C$9)</formula>
    </cfRule>
  </conditionalFormatting>
  <conditionalFormatting sqref="L6:L35">
    <cfRule type="expression" dxfId="26" priority="1">
      <formula>AND(L6="İ",COUNTIF(L$6:L$35,"İ")&lt;='Özet'!$C$9)</formula>
    </cfRule>
  </conditionalFormatting>
  <conditionalFormatting sqref="L6:L35">
    <cfRule type="expression" dxfId="27" priority="1">
      <formula>AND(L6="İ",COUNTIF(L$6:L$35,"İ")&gt;'Özet'!$C$9)</formula>
    </cfRule>
  </conditionalFormatting>
  <conditionalFormatting sqref="M6:M35">
    <cfRule type="expression" dxfId="28" priority="1">
      <formula>AND(M6="İ",COUNTIF(M$6:M$35,"İ")&lt;='Özet'!$C$9)</formula>
    </cfRule>
  </conditionalFormatting>
  <conditionalFormatting sqref="M6:M35">
    <cfRule type="expression" dxfId="29" priority="1">
      <formula>AND(M6="İ",COUNTIF(M$6:M$35,"İ")&gt;'Özet'!$C$9)</formula>
    </cfRule>
  </conditionalFormatting>
  <conditionalFormatting sqref="N6:N35">
    <cfRule type="expression" dxfId="30" priority="1">
      <formula>AND(N6="İ",COUNTIF(N$6:N$35,"İ")&lt;='Özet'!$C$9)</formula>
    </cfRule>
  </conditionalFormatting>
  <conditionalFormatting sqref="N6:N35">
    <cfRule type="expression" dxfId="31" priority="1">
      <formula>AND(N6="İ",COUNTIF(N$6:N$35,"İ")&gt;'Özet'!$C$9)</formula>
    </cfRule>
  </conditionalFormatting>
  <conditionalFormatting sqref="O6:O35">
    <cfRule type="expression" dxfId="32" priority="1">
      <formula>AND(O6="İ",COUNTIF(O$6:O$35,"İ")&lt;='Özet'!$C$9)</formula>
    </cfRule>
  </conditionalFormatting>
  <conditionalFormatting sqref="O6:O35">
    <cfRule type="expression" dxfId="33" priority="1">
      <formula>AND(O6="İ",COUNTIF(O$6:O$35,"İ")&gt;'Özet'!$C$9)</formula>
    </cfRule>
  </conditionalFormatting>
  <conditionalFormatting sqref="P6:P35">
    <cfRule type="expression" dxfId="34" priority="1">
      <formula>AND(P6="İ",COUNTIF(P$6:P$35,"İ")&lt;='Özet'!$C$9)</formula>
    </cfRule>
  </conditionalFormatting>
  <conditionalFormatting sqref="P6:P35">
    <cfRule type="expression" dxfId="35" priority="1">
      <formula>AND(P6="İ",COUNTIF(P$6:P$35,"İ")&gt;'Özet'!$C$9)</formula>
    </cfRule>
  </conditionalFormatting>
  <conditionalFormatting sqref="Q6:Q35">
    <cfRule type="expression" dxfId="36" priority="1">
      <formula>AND(Q6="İ",COUNTIF(Q$6:Q$35,"İ")&lt;='Özet'!$C$9)</formula>
    </cfRule>
  </conditionalFormatting>
  <conditionalFormatting sqref="Q6:Q35">
    <cfRule type="expression" dxfId="37" priority="1">
      <formula>AND(Q6="İ",COUNTIF(Q$6:Q$35,"İ")&gt;'Özet'!$C$9)</formula>
    </cfRule>
  </conditionalFormatting>
  <conditionalFormatting sqref="R6:R35">
    <cfRule type="expression" dxfId="38" priority="1">
      <formula>AND(R6="İ",COUNTIF(R$6:R$35,"İ")&lt;='Özet'!$C$9)</formula>
    </cfRule>
  </conditionalFormatting>
  <conditionalFormatting sqref="R6:R35">
    <cfRule type="expression" dxfId="39" priority="1">
      <formula>AND(R6="İ",COUNTIF(R$6:R$35,"İ")&gt;'Özet'!$C$9)</formula>
    </cfRule>
  </conditionalFormatting>
  <conditionalFormatting sqref="S6:S35">
    <cfRule type="expression" dxfId="40" priority="1">
      <formula>AND(S6="İ",COUNTIF(S$6:S$35,"İ")&lt;='Özet'!$C$9)</formula>
    </cfRule>
  </conditionalFormatting>
  <conditionalFormatting sqref="S6:S35">
    <cfRule type="expression" dxfId="41" priority="1">
      <formula>AND(S6="İ",COUNTIF(S$6:S$35,"İ")&gt;'Özet'!$C$9)</formula>
    </cfRule>
  </conditionalFormatting>
  <conditionalFormatting sqref="T6:T35">
    <cfRule type="expression" dxfId="42" priority="1">
      <formula>AND(T6="İ",COUNTIF(T$6:T$35,"İ")&lt;='Özet'!$C$9)</formula>
    </cfRule>
  </conditionalFormatting>
  <conditionalFormatting sqref="T6:T35">
    <cfRule type="expression" dxfId="43" priority="1">
      <formula>AND(T6="İ",COUNTIF(T$6:T$35,"İ")&gt;'Özet'!$C$9)</formula>
    </cfRule>
  </conditionalFormatting>
  <conditionalFormatting sqref="U6:U35">
    <cfRule type="expression" dxfId="44" priority="1">
      <formula>AND(U6="İ",COUNTIF(U$6:U$35,"İ")&lt;='Özet'!$C$9)</formula>
    </cfRule>
  </conditionalFormatting>
  <conditionalFormatting sqref="U6:U35">
    <cfRule type="expression" dxfId="45" priority="1">
      <formula>AND(U6="İ",COUNTIF(U$6:U$35,"İ")&gt;'Özet'!$C$9)</formula>
    </cfRule>
  </conditionalFormatting>
  <conditionalFormatting sqref="V6:V35">
    <cfRule type="expression" dxfId="46" priority="1">
      <formula>AND(V6="İ",COUNTIF(V$6:V$35,"İ")&lt;='Özet'!$C$9)</formula>
    </cfRule>
  </conditionalFormatting>
  <conditionalFormatting sqref="V6:V35">
    <cfRule type="expression" dxfId="47" priority="1">
      <formula>AND(V6="İ",COUNTIF(V$6:V$35,"İ")&gt;'Özet'!$C$9)</formula>
    </cfRule>
  </conditionalFormatting>
  <conditionalFormatting sqref="W6:W35">
    <cfRule type="expression" dxfId="48" priority="1">
      <formula>AND(W6="İ",COUNTIF(W$6:W$35,"İ")&lt;='Özet'!$C$9)</formula>
    </cfRule>
  </conditionalFormatting>
  <conditionalFormatting sqref="W6:W35">
    <cfRule type="expression" dxfId="49" priority="1">
      <formula>AND(W6="İ",COUNTIF(W$6:W$35,"İ")&gt;'Özet'!$C$9)</formula>
    </cfRule>
  </conditionalFormatting>
  <conditionalFormatting sqref="X6:X35">
    <cfRule type="expression" dxfId="50" priority="1">
      <formula>AND(X6="İ",COUNTIF(X$6:X$35,"İ")&lt;='Özet'!$C$9)</formula>
    </cfRule>
  </conditionalFormatting>
  <conditionalFormatting sqref="X6:X35">
    <cfRule type="expression" dxfId="51" priority="1">
      <formula>AND(X6="İ",COUNTIF(X$6:X$35,"İ")&gt;'Özet'!$C$9)</formula>
    </cfRule>
  </conditionalFormatting>
  <conditionalFormatting sqref="Y6:Y35">
    <cfRule type="expression" dxfId="52" priority="1">
      <formula>AND(Y6="İ",COUNTIF(Y$6:Y$35,"İ")&lt;='Özet'!$C$9)</formula>
    </cfRule>
  </conditionalFormatting>
  <conditionalFormatting sqref="Y6:Y35">
    <cfRule type="expression" dxfId="53" priority="1">
      <formula>AND(Y6="İ",COUNTIF(Y$6:Y$35,"İ")&gt;'Özet'!$C$9)</formula>
    </cfRule>
  </conditionalFormatting>
  <conditionalFormatting sqref="Z6:Z35">
    <cfRule type="expression" dxfId="54" priority="1">
      <formula>AND(Z6="İ",COUNTIF(Z$6:Z$35,"İ")&lt;='Özet'!$C$9)</formula>
    </cfRule>
  </conditionalFormatting>
  <conditionalFormatting sqref="Z6:Z35">
    <cfRule type="expression" dxfId="55" priority="1">
      <formula>AND(Z6="İ",COUNTIF(Z$6:Z$35,"İ")&gt;'Özet'!$C$9)</formula>
    </cfRule>
  </conditionalFormatting>
  <conditionalFormatting sqref="AA6:AA35">
    <cfRule type="expression" dxfId="56" priority="1">
      <formula>AND(AA6="İ",COUNTIF(AA$6:AA$35,"İ")&lt;='Özet'!$C$9)</formula>
    </cfRule>
  </conditionalFormatting>
  <conditionalFormatting sqref="AA6:AA35">
    <cfRule type="expression" dxfId="57" priority="1">
      <formula>AND(AA6="İ",COUNTIF(AA$6:AA$35,"İ")&gt;'Özet'!$C$9)</formula>
    </cfRule>
  </conditionalFormatting>
  <conditionalFormatting sqref="AB6:AB35">
    <cfRule type="expression" dxfId="58" priority="1">
      <formula>AND(AB6="İ",COUNTIF(AB$6:AB$35,"İ")&lt;='Özet'!$C$9)</formula>
    </cfRule>
  </conditionalFormatting>
  <conditionalFormatting sqref="AB6:AB35">
    <cfRule type="expression" dxfId="59" priority="1">
      <formula>AND(AB6="İ",COUNTIF(AB$6:AB$35,"İ")&gt;'Özet'!$C$9)</formula>
    </cfRule>
  </conditionalFormatting>
  <conditionalFormatting sqref="AC6:AC35">
    <cfRule type="expression" dxfId="60" priority="1">
      <formula>AND(AC6="İ",COUNTIF(AC$6:AC$35,"İ")&lt;='Özet'!$C$9)</formula>
    </cfRule>
  </conditionalFormatting>
  <conditionalFormatting sqref="AC6:AC35">
    <cfRule type="expression" dxfId="61" priority="1">
      <formula>AND(AC6="İ",COUNTIF(AC$6:AC$35,"İ")&gt;'Özet'!$C$9)</formula>
    </cfRule>
  </conditionalFormatting>
  <conditionalFormatting sqref="AD6:AD35">
    <cfRule type="expression" dxfId="62" priority="1">
      <formula>AND(AD6="İ",COUNTIF(AD$6:AD$35,"İ")&lt;='Özet'!$C$9)</formula>
    </cfRule>
  </conditionalFormatting>
  <conditionalFormatting sqref="AD6:AD35">
    <cfRule type="expression" dxfId="63" priority="1">
      <formula>AND(AD6="İ",COUNTIF(AD$6:AD$35,"İ")&gt;'Özet'!$C$9)</formula>
    </cfRule>
  </conditionalFormatting>
  <conditionalFormatting sqref="AE6:AE35">
    <cfRule type="expression" dxfId="64" priority="1">
      <formula>AND(AE6="İ",COUNTIF(AE$6:AE$35,"İ")&lt;='Özet'!$C$9)</formula>
    </cfRule>
  </conditionalFormatting>
  <conditionalFormatting sqref="AE6:AE35">
    <cfRule type="expression" dxfId="65" priority="1">
      <formula>AND(AE6="İ",COUNTIF(AE$6:AE$35,"İ")&gt;'Özet'!$C$9)</formula>
    </cfRule>
  </conditionalFormatting>
  <conditionalFormatting sqref="AF6:AF35">
    <cfRule type="expression" dxfId="66" priority="1">
      <formula>AND(AF6="İ",COUNTIF(AF$6:AF$35,"İ")&lt;='Özet'!$C$9)</formula>
    </cfRule>
  </conditionalFormatting>
  <conditionalFormatting sqref="AF6:AF35">
    <cfRule type="expression" dxfId="67" priority="1">
      <formula>AND(AF6="İ",COUNTIF(AF$6:AF$35,"İ")&gt;'Özet'!$C$9)</formula>
    </cfRule>
  </conditionalFormatting>
  <conditionalFormatting sqref="AG6:AG35">
    <cfRule type="expression" dxfId="68" priority="1">
      <formula>AND(AG6="İ",COUNTIF(AG$6:AG$35,"İ")&lt;='Özet'!$C$9)</formula>
    </cfRule>
  </conditionalFormatting>
  <conditionalFormatting sqref="AG6:AG35">
    <cfRule type="expression" dxfId="69" priority="1">
      <formula>AND(AG6="İ",COUNTIF(AG$6:AG$35,"İ")&gt;'Özet'!$C$9)</formula>
    </cfRule>
  </conditionalFormatting>
  <conditionalFormatting sqref="AH6:AH35">
    <cfRule type="expression" dxfId="70" priority="1">
      <formula>AND(AH6="İ",COUNTIF(AH$6:AH$35,"İ")&lt;='Özet'!$C$9)</formula>
    </cfRule>
  </conditionalFormatting>
  <conditionalFormatting sqref="AH6:AH35">
    <cfRule type="expression" dxfId="71" priority="1">
      <formula>AND(AH6="İ",COUNTIF(AH$6:AH$35,"İ")&gt;'Özet'!$C$9)</formula>
    </cfRule>
  </conditionalFormatting>
  <conditionalFormatting sqref="AI6:AI35">
    <cfRule type="expression" dxfId="72" priority="1">
      <formula>AND(AI6="İ",COUNTIF(AI$6:AI$35,"İ")&lt;='Özet'!$C$9)</formula>
    </cfRule>
  </conditionalFormatting>
  <conditionalFormatting sqref="AI6:AI35">
    <cfRule type="expression" dxfId="73" priority="1">
      <formula>AND(AI6="İ",COUNTIF(AI$6:AI$35,"İ")&gt;'Özet'!$C$9)</formula>
    </cfRule>
  </conditionalFormatting>
  <conditionalFormatting sqref="AJ6:AJ35">
    <cfRule type="expression" dxfId="74" priority="1">
      <formula>AND(AJ6="İ",COUNTIF(AJ$6:AJ$35,"İ")&lt;='Özet'!$C$9)</formula>
    </cfRule>
  </conditionalFormatting>
  <conditionalFormatting sqref="AJ6:AJ35">
    <cfRule type="expression" dxfId="75" priority="1">
      <formula>AND(AJ6="İ",COUNTIF(AJ$6:AJ$35,"İ")&gt;'Özet'!$C$9)</formula>
    </cfRule>
  </conditionalFormatting>
  <conditionalFormatting sqref="AK6:AK35">
    <cfRule type="expression" dxfId="76" priority="1">
      <formula>AND(AK6="İ",COUNTIF(AK$6:AK$35,"İ")&lt;='Özet'!$C$9)</formula>
    </cfRule>
  </conditionalFormatting>
  <conditionalFormatting sqref="AK6:AK35">
    <cfRule type="expression" dxfId="77" priority="1">
      <formula>AND(AK6="İ",COUNTIF(AK$6:AK$35,"İ")&gt;'Özet'!$C$9)</formula>
    </cfRule>
  </conditionalFormatting>
  <conditionalFormatting sqref="AL6:AL35">
    <cfRule type="expression" dxfId="78" priority="1">
      <formula>AND(AL6="İ",COUNTIF(AL$6:AL$35,"İ")&lt;='Özet'!$C$9)</formula>
    </cfRule>
  </conditionalFormatting>
  <conditionalFormatting sqref="AL6:AL35">
    <cfRule type="expression" dxfId="79" priority="1">
      <formula>AND(AL6="İ",COUNTIF(AL$6:AL$35,"İ")&gt;'Özet'!$C$9)</formula>
    </cfRule>
  </conditionalFormatting>
  <conditionalFormatting sqref="AM6:AM35">
    <cfRule type="expression" dxfId="80" priority="1">
      <formula>AND(AM6="İ",COUNTIF(AM$6:AM$35,"İ")&lt;='Özet'!$C$9)</formula>
    </cfRule>
  </conditionalFormatting>
  <conditionalFormatting sqref="AM6:AM35">
    <cfRule type="expression" dxfId="81" priority="1">
      <formula>AND(AM6="İ",COUNTIF(AM$6:AM$35,"İ")&gt;'Özet'!$C$9)</formula>
    </cfRule>
  </conditionalFormatting>
  <conditionalFormatting sqref="AN6:AN35">
    <cfRule type="expression" dxfId="82" priority="1">
      <formula>AND(AN6="İ",COUNTIF(AN$6:AN$35,"İ")&lt;='Özet'!$C$9)</formula>
    </cfRule>
  </conditionalFormatting>
  <conditionalFormatting sqref="AN6:AN35">
    <cfRule type="expression" dxfId="83" priority="1">
      <formula>AND(AN6="İ",COUNTIF(AN$6:AN$35,"İ")&gt;'Özet'!$C$9)</formula>
    </cfRule>
  </conditionalFormatting>
  <conditionalFormatting sqref="AO6:AO35">
    <cfRule type="expression" dxfId="84" priority="1">
      <formula>AND(AO6="İ",COUNTIF(AO$6:AO$35,"İ")&lt;='Özet'!$C$9)</formula>
    </cfRule>
  </conditionalFormatting>
  <conditionalFormatting sqref="AO6:AO35">
    <cfRule type="expression" dxfId="85" priority="1">
      <formula>AND(AO6="İ",COUNTIF(AO$6:AO$35,"İ")&gt;'Özet'!$C$9)</formula>
    </cfRule>
  </conditionalFormatting>
  <conditionalFormatting sqref="AP6:AP35">
    <cfRule type="expression" dxfId="86" priority="1">
      <formula>AND(AP6="İ",COUNTIF(AP$6:AP$35,"İ")&lt;='Özet'!$C$9)</formula>
    </cfRule>
  </conditionalFormatting>
  <conditionalFormatting sqref="AP6:AP35">
    <cfRule type="expression" dxfId="87" priority="1">
      <formula>AND(AP6="İ",COUNTIF(AP$6:AP$35,"İ")&gt;'Özet'!$C$9)</formula>
    </cfRule>
  </conditionalFormatting>
  <conditionalFormatting sqref="AQ6:AQ35">
    <cfRule type="expression" dxfId="88" priority="1">
      <formula>AND(AQ6="İ",COUNTIF(AQ$6:AQ$35,"İ")&lt;='Özet'!$C$9)</formula>
    </cfRule>
  </conditionalFormatting>
  <conditionalFormatting sqref="AQ6:AQ35">
    <cfRule type="expression" dxfId="89" priority="1">
      <formula>AND(AQ6="İ",COUNTIF(AQ$6:AQ$35,"İ")&gt;'Özet'!$C$9)</formula>
    </cfRule>
  </conditionalFormatting>
  <conditionalFormatting sqref="AR6:AR35">
    <cfRule type="expression" dxfId="90" priority="1">
      <formula>AND(AR6="İ",COUNTIF(AR$6:AR$35,"İ")&lt;='Özet'!$C$9)</formula>
    </cfRule>
  </conditionalFormatting>
  <conditionalFormatting sqref="AR6:AR35">
    <cfRule type="expression" dxfId="91" priority="1">
      <formula>AND(AR6="İ",COUNTIF(AR$6:AR$35,"İ")&gt;'Özet'!$C$9)</formula>
    </cfRule>
  </conditionalFormatting>
  <conditionalFormatting sqref="AS6:AS35">
    <cfRule type="expression" dxfId="92" priority="1">
      <formula>AND(AS6="İ",COUNTIF(AS$6:AS$35,"İ")&lt;='Özet'!$C$9)</formula>
    </cfRule>
  </conditionalFormatting>
  <conditionalFormatting sqref="AS6:AS35">
    <cfRule type="expression" dxfId="93" priority="1">
      <formula>AND(AS6="İ",COUNTIF(AS$6:AS$35,"İ")&gt;'Özet'!$C$9)</formula>
    </cfRule>
  </conditionalFormatting>
  <conditionalFormatting sqref="AT6:AT35">
    <cfRule type="expression" dxfId="94" priority="1">
      <formula>AND(AT6="İ",COUNTIF(AT$6:AT$35,"İ")&lt;='Özet'!$C$9)</formula>
    </cfRule>
  </conditionalFormatting>
  <conditionalFormatting sqref="AT6:AT35">
    <cfRule type="expression" dxfId="95" priority="1">
      <formula>AND(AT6="İ",COUNTIF(AT$6:AT$35,"İ")&gt;'Özet'!$C$9)</formula>
    </cfRule>
  </conditionalFormatting>
  <conditionalFormatting sqref="AU6:AU35">
    <cfRule type="expression" dxfId="96" priority="1">
      <formula>AND(AU6="İ",COUNTIF(AU$6:AU$35,"İ")&lt;='Özet'!$C$9)</formula>
    </cfRule>
  </conditionalFormatting>
  <conditionalFormatting sqref="AU6:AU35">
    <cfRule type="expression" dxfId="97" priority="1">
      <formula>AND(AU6="İ",COUNTIF(AU$6:AU$35,"İ")&gt;'Özet'!$C$9)</formula>
    </cfRule>
  </conditionalFormatting>
  <conditionalFormatting sqref="AV6:AV35">
    <cfRule type="expression" dxfId="98" priority="1">
      <formula>AND(AV6="İ",COUNTIF(AV$6:AV$35,"İ")&lt;='Özet'!$C$9)</formula>
    </cfRule>
  </conditionalFormatting>
  <conditionalFormatting sqref="AV6:AV35">
    <cfRule type="expression" dxfId="99" priority="1">
      <formula>AND(AV6="İ",COUNTIF(AV$6:AV$35,"İ")&gt;'Özet'!$C$9)</formula>
    </cfRule>
  </conditionalFormatting>
  <conditionalFormatting sqref="AW6:AW35">
    <cfRule type="expression" dxfId="100" priority="1">
      <formula>AND(AW6="İ",COUNTIF(AW$6:AW$35,"İ")&lt;='Özet'!$C$9)</formula>
    </cfRule>
  </conditionalFormatting>
  <conditionalFormatting sqref="AW6:AW35">
    <cfRule type="expression" dxfId="101" priority="1">
      <formula>AND(AW6="İ",COUNTIF(AW$6:AW$35,"İ")&gt;'Özet'!$C$9)</formula>
    </cfRule>
  </conditionalFormatting>
  <conditionalFormatting sqref="AX6:AX35">
    <cfRule type="expression" dxfId="102" priority="1">
      <formula>AND(AX6="İ",COUNTIF(AX$6:AX$35,"İ")&lt;='Özet'!$C$9)</formula>
    </cfRule>
  </conditionalFormatting>
  <conditionalFormatting sqref="AX6:AX35">
    <cfRule type="expression" dxfId="103" priority="1">
      <formula>AND(AX6="İ",COUNTIF(AX$6:AX$35,"İ")&gt;'Özet'!$C$9)</formula>
    </cfRule>
  </conditionalFormatting>
  <conditionalFormatting sqref="AY6:AY35">
    <cfRule type="expression" dxfId="104" priority="1">
      <formula>AND(AY6="İ",COUNTIF(AY$6:AY$35,"İ")&lt;='Özet'!$C$9)</formula>
    </cfRule>
  </conditionalFormatting>
  <conditionalFormatting sqref="AY6:AY35">
    <cfRule type="expression" dxfId="105" priority="1">
      <formula>AND(AY6="İ",COUNTIF(AY$6:AY$35,"İ")&gt;'Özet'!$C$9)</formula>
    </cfRule>
  </conditionalFormatting>
  <conditionalFormatting sqref="AZ6:AZ35">
    <cfRule type="expression" dxfId="106" priority="1">
      <formula>AND(AZ6="İ",COUNTIF(AZ$6:AZ$35,"İ")&lt;='Özet'!$C$9)</formula>
    </cfRule>
  </conditionalFormatting>
  <conditionalFormatting sqref="AZ6:AZ35">
    <cfRule type="expression" dxfId="107" priority="1">
      <formula>AND(AZ6="İ",COUNTIF(AZ$6:AZ$35,"İ")&gt;'Özet'!$C$9)</formula>
    </cfRule>
  </conditionalFormatting>
  <conditionalFormatting sqref="BA6:BA35">
    <cfRule type="expression" dxfId="108" priority="1">
      <formula>AND(BA6="İ",COUNTIF(BA$6:BA$35,"İ")&lt;='Özet'!$C$9)</formula>
    </cfRule>
  </conditionalFormatting>
  <conditionalFormatting sqref="BA6:BA35">
    <cfRule type="expression" dxfId="109" priority="1">
      <formula>AND(BA6="İ",COUNTIF(BA$6:BA$35,"İ")&gt;'Özet'!$C$9)</formula>
    </cfRule>
  </conditionalFormatting>
  <conditionalFormatting sqref="BB6:BB35">
    <cfRule type="expression" dxfId="110" priority="1">
      <formula>AND(BB6="İ",COUNTIF(BB$6:BB$35,"İ")&lt;='Özet'!$C$9)</formula>
    </cfRule>
  </conditionalFormatting>
  <conditionalFormatting sqref="BB6:BB35">
    <cfRule type="expression" dxfId="111" priority="1">
      <formula>AND(BB6="İ",COUNTIF(BB$6:BB$35,"İ")&gt;'Özet'!$C$9)</formula>
    </cfRule>
  </conditionalFormatting>
  <conditionalFormatting sqref="BC6:BC35">
    <cfRule type="expression" dxfId="112" priority="1">
      <formula>AND(BC6="İ",COUNTIF(BC$6:BC$35,"İ")&lt;='Özet'!$C$9)</formula>
    </cfRule>
  </conditionalFormatting>
  <conditionalFormatting sqref="BC6:BC35">
    <cfRule type="expression" dxfId="113" priority="1">
      <formula>AND(BC6="İ",COUNTIF(BC$6:BC$35,"İ")&gt;'Özet'!$C$9)</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
  <sheetViews>
    <sheetView workbookViewId="0" showGridLines="0">
      <pane xSplit="1" ySplit="5" topLeftCell="B6" activePane="bottomRight" state="frozen"/>
      <selection pane="bottomRight"/>
    </sheetView>
  </sheetViews>
  <sheetFormatPr defaultRowHeight="15" outlineLevelRow="0" outlineLevelCol="0" x14ac:dyDescent="55"/>
  <cols>
    <col min="1" max="1" width="8" customWidth="1"/>
    <col min="2" max="3" width="13" customWidth="1"/>
    <col min="4" max="6" width="10" customWidth="1"/>
    <col min="7" max="7" width="14" customWidth="1"/>
    <col min="8" max="8" width="30" customWidth="1"/>
  </cols>
  <sheetData>
    <row r="1" ht="34" customHeight="1" spans="2:2" x14ac:dyDescent="0.25">
      <c r="B1" s="1" t="s">
        <v>0</v>
      </c>
    </row>
    <row r="2" ht="18" customHeight="1" spans="2:2" x14ac:dyDescent="0.25">
      <c r="B2" s="2" t="s">
        <v>1</v>
      </c>
    </row>
    <row r="3" ht="16" customHeight="1" spans="2:2" x14ac:dyDescent="0.25">
      <c r="B3" s="3" t="s">
        <v>2</v>
      </c>
    </row>
    <row r="4" spans="1:8" x14ac:dyDescent="0.25">
      <c r="A4" s="4"/>
      <c r="B4" s="4"/>
      <c r="C4" s="4"/>
      <c r="D4" s="4"/>
      <c r="E4" s="4"/>
      <c r="F4" s="4"/>
      <c r="G4" s="4"/>
      <c r="H4" s="4"/>
    </row>
    <row r="5" ht="30" customHeight="1" spans="1:8" x14ac:dyDescent="0.25">
      <c r="A5" s="5" t="s">
        <v>97</v>
      </c>
      <c r="B5" s="5" t="s">
        <v>98</v>
      </c>
      <c r="C5" s="5" t="s">
        <v>99</v>
      </c>
      <c r="D5" s="5" t="s">
        <v>100</v>
      </c>
      <c r="E5" s="5" t="s">
        <v>101</v>
      </c>
      <c r="F5" s="5" t="s">
        <v>102</v>
      </c>
      <c r="G5" s="5" t="s">
        <v>103</v>
      </c>
      <c r="H5" s="5" t="s">
        <v>104</v>
      </c>
    </row>
    <row r="6" spans="1:8" x14ac:dyDescent="0.25">
      <c r="A6" s="6">
        <v>1</v>
      </c>
      <c r="B6" s="20">
        <f>'Özet'!$C$6+7*(6-6)</f>
      </c>
      <c r="C6" s="20">
        <f>B6+6</f>
      </c>
      <c r="D6" s="12">
        <f>COUNTIF(INDEX('Yıllık Görünüm'!$C$6:$BC$35,0,6-5),"İ")</f>
      </c>
      <c r="E6" s="12">
        <f>'Özet'!$C$11</f>
      </c>
      <c r="F6" s="21">
        <f>IF(N(E6)=0,"",D6/E6)</f>
      </c>
      <c r="G6" s="13">
        <f>IF(D6&gt;'Özet'!$C$9,"Çakışma riski",IF(D6&gt;0,"Uygun","İzinli yok"))</f>
      </c>
      <c r="H6" s="22"/>
    </row>
    <row r="7" spans="1:8" x14ac:dyDescent="0.25">
      <c r="A7" s="6">
        <v>2</v>
      </c>
      <c r="B7" s="20">
        <f>'Özet'!$C$6+7*(7-6)</f>
      </c>
      <c r="C7" s="20">
        <f>B7+6</f>
      </c>
      <c r="D7" s="12">
        <f>COUNTIF(INDEX('Yıllık Görünüm'!$C$6:$BC$35,0,7-5),"İ")</f>
      </c>
      <c r="E7" s="12">
        <f>'Özet'!$C$11</f>
      </c>
      <c r="F7" s="21">
        <f>IF(N(E7)=0,"",D7/E7)</f>
      </c>
      <c r="G7" s="13">
        <f>IF(D7&gt;'Özet'!$C$9,"Çakışma riski",IF(D7&gt;0,"Uygun","İzinli yok"))</f>
      </c>
      <c r="H7" s="22"/>
    </row>
    <row r="8" spans="1:8" x14ac:dyDescent="0.25">
      <c r="A8" s="6">
        <v>3</v>
      </c>
      <c r="B8" s="20">
        <f>'Özet'!$C$6+7*(8-6)</f>
      </c>
      <c r="C8" s="20">
        <f>B8+6</f>
      </c>
      <c r="D8" s="12">
        <f>COUNTIF(INDEX('Yıllık Görünüm'!$C$6:$BC$35,0,8-5),"İ")</f>
      </c>
      <c r="E8" s="12">
        <f>'Özet'!$C$11</f>
      </c>
      <c r="F8" s="21">
        <f>IF(N(E8)=0,"",D8/E8)</f>
      </c>
      <c r="G8" s="13">
        <f>IF(D8&gt;'Özet'!$C$9,"Çakışma riski",IF(D8&gt;0,"Uygun","İzinli yok"))</f>
      </c>
      <c r="H8" s="22"/>
    </row>
    <row r="9" spans="1:8" x14ac:dyDescent="0.25">
      <c r="A9" s="6">
        <v>4</v>
      </c>
      <c r="B9" s="20">
        <f>'Özet'!$C$6+7*(9-6)</f>
      </c>
      <c r="C9" s="20">
        <f>B9+6</f>
      </c>
      <c r="D9" s="12">
        <f>COUNTIF(INDEX('Yıllık Görünüm'!$C$6:$BC$35,0,9-5),"İ")</f>
      </c>
      <c r="E9" s="12">
        <f>'Özet'!$C$11</f>
      </c>
      <c r="F9" s="21">
        <f>IF(N(E9)=0,"",D9/E9)</f>
      </c>
      <c r="G9" s="13">
        <f>IF(D9&gt;'Özet'!$C$9,"Çakışma riski",IF(D9&gt;0,"Uygun","İzinli yok"))</f>
      </c>
      <c r="H9" s="22"/>
    </row>
    <row r="10" spans="1:8" x14ac:dyDescent="0.25">
      <c r="A10" s="6">
        <v>5</v>
      </c>
      <c r="B10" s="20">
        <f>'Özet'!$C$6+7*(10-6)</f>
      </c>
      <c r="C10" s="20">
        <f>B10+6</f>
      </c>
      <c r="D10" s="12">
        <f>COUNTIF(INDEX('Yıllık Görünüm'!$C$6:$BC$35,0,10-5),"İ")</f>
      </c>
      <c r="E10" s="12">
        <f>'Özet'!$C$11</f>
      </c>
      <c r="F10" s="21">
        <f>IF(N(E10)=0,"",D10/E10)</f>
      </c>
      <c r="G10" s="13">
        <f>IF(D10&gt;'Özet'!$C$9,"Çakışma riski",IF(D10&gt;0,"Uygun","İzinli yok"))</f>
      </c>
      <c r="H10" s="22"/>
    </row>
    <row r="11" spans="1:8" x14ac:dyDescent="0.25">
      <c r="A11" s="6">
        <v>6</v>
      </c>
      <c r="B11" s="20">
        <f>'Özet'!$C$6+7*(11-6)</f>
      </c>
      <c r="C11" s="20">
        <f>B11+6</f>
      </c>
      <c r="D11" s="12">
        <f>COUNTIF(INDEX('Yıllık Görünüm'!$C$6:$BC$35,0,11-5),"İ")</f>
      </c>
      <c r="E11" s="12">
        <f>'Özet'!$C$11</f>
      </c>
      <c r="F11" s="21">
        <f>IF(N(E11)=0,"",D11/E11)</f>
      </c>
      <c r="G11" s="13">
        <f>IF(D11&gt;'Özet'!$C$9,"Çakışma riski",IF(D11&gt;0,"Uygun","İzinli yok"))</f>
      </c>
      <c r="H11" s="22"/>
    </row>
    <row r="12" spans="1:8" x14ac:dyDescent="0.25">
      <c r="A12" s="6">
        <v>7</v>
      </c>
      <c r="B12" s="20">
        <f>'Özet'!$C$6+7*(12-6)</f>
      </c>
      <c r="C12" s="20">
        <f>B12+6</f>
      </c>
      <c r="D12" s="12">
        <f>COUNTIF(INDEX('Yıllık Görünüm'!$C$6:$BC$35,0,12-5),"İ")</f>
      </c>
      <c r="E12" s="12">
        <f>'Özet'!$C$11</f>
      </c>
      <c r="F12" s="21">
        <f>IF(N(E12)=0,"",D12/E12)</f>
      </c>
      <c r="G12" s="13">
        <f>IF(D12&gt;'Özet'!$C$9,"Çakışma riski",IF(D12&gt;0,"Uygun","İzinli yok"))</f>
      </c>
      <c r="H12" s="22"/>
    </row>
    <row r="13" spans="1:8" x14ac:dyDescent="0.25">
      <c r="A13" s="6">
        <v>8</v>
      </c>
      <c r="B13" s="20">
        <f>'Özet'!$C$6+7*(13-6)</f>
      </c>
      <c r="C13" s="20">
        <f>B13+6</f>
      </c>
      <c r="D13" s="12">
        <f>COUNTIF(INDEX('Yıllık Görünüm'!$C$6:$BC$35,0,13-5),"İ")</f>
      </c>
      <c r="E13" s="12">
        <f>'Özet'!$C$11</f>
      </c>
      <c r="F13" s="21">
        <f>IF(N(E13)=0,"",D13/E13)</f>
      </c>
      <c r="G13" s="13">
        <f>IF(D13&gt;'Özet'!$C$9,"Çakışma riski",IF(D13&gt;0,"Uygun","İzinli yok"))</f>
      </c>
      <c r="H13" s="22"/>
    </row>
    <row r="14" spans="1:8" x14ac:dyDescent="0.25">
      <c r="A14" s="6">
        <v>9</v>
      </c>
      <c r="B14" s="20">
        <f>'Özet'!$C$6+7*(14-6)</f>
      </c>
      <c r="C14" s="20">
        <f>B14+6</f>
      </c>
      <c r="D14" s="12">
        <f>COUNTIF(INDEX('Yıllık Görünüm'!$C$6:$BC$35,0,14-5),"İ")</f>
      </c>
      <c r="E14" s="12">
        <f>'Özet'!$C$11</f>
      </c>
      <c r="F14" s="21">
        <f>IF(N(E14)=0,"",D14/E14)</f>
      </c>
      <c r="G14" s="13">
        <f>IF(D14&gt;'Özet'!$C$9,"Çakışma riski",IF(D14&gt;0,"Uygun","İzinli yok"))</f>
      </c>
      <c r="H14" s="22"/>
    </row>
    <row r="15" spans="1:8" x14ac:dyDescent="0.25">
      <c r="A15" s="6">
        <v>10</v>
      </c>
      <c r="B15" s="20">
        <f>'Özet'!$C$6+7*(15-6)</f>
      </c>
      <c r="C15" s="20">
        <f>B15+6</f>
      </c>
      <c r="D15" s="12">
        <f>COUNTIF(INDEX('Yıllık Görünüm'!$C$6:$BC$35,0,15-5),"İ")</f>
      </c>
      <c r="E15" s="12">
        <f>'Özet'!$C$11</f>
      </c>
      <c r="F15" s="21">
        <f>IF(N(E15)=0,"",D15/E15)</f>
      </c>
      <c r="G15" s="13">
        <f>IF(D15&gt;'Özet'!$C$9,"Çakışma riski",IF(D15&gt;0,"Uygun","İzinli yok"))</f>
      </c>
      <c r="H15" s="22"/>
    </row>
    <row r="16" spans="1:8" x14ac:dyDescent="0.25">
      <c r="A16" s="6">
        <v>11</v>
      </c>
      <c r="B16" s="20">
        <f>'Özet'!$C$6+7*(16-6)</f>
      </c>
      <c r="C16" s="20">
        <f>B16+6</f>
      </c>
      <c r="D16" s="12">
        <f>COUNTIF(INDEX('Yıllık Görünüm'!$C$6:$BC$35,0,16-5),"İ")</f>
      </c>
      <c r="E16" s="12">
        <f>'Özet'!$C$11</f>
      </c>
      <c r="F16" s="21">
        <f>IF(N(E16)=0,"",D16/E16)</f>
      </c>
      <c r="G16" s="13">
        <f>IF(D16&gt;'Özet'!$C$9,"Çakışma riski",IF(D16&gt;0,"Uygun","İzinli yok"))</f>
      </c>
      <c r="H16" s="22"/>
    </row>
    <row r="17" spans="1:8" x14ac:dyDescent="0.25">
      <c r="A17" s="6">
        <v>12</v>
      </c>
      <c r="B17" s="20">
        <f>'Özet'!$C$6+7*(17-6)</f>
      </c>
      <c r="C17" s="20">
        <f>B17+6</f>
      </c>
      <c r="D17" s="12">
        <f>COUNTIF(INDEX('Yıllık Görünüm'!$C$6:$BC$35,0,17-5),"İ")</f>
      </c>
      <c r="E17" s="12">
        <f>'Özet'!$C$11</f>
      </c>
      <c r="F17" s="21">
        <f>IF(N(E17)=0,"",D17/E17)</f>
      </c>
      <c r="G17" s="13">
        <f>IF(D17&gt;'Özet'!$C$9,"Çakışma riski",IF(D17&gt;0,"Uygun","İzinli yok"))</f>
      </c>
      <c r="H17" s="22"/>
    </row>
    <row r="18" spans="1:8" x14ac:dyDescent="0.25">
      <c r="A18" s="6">
        <v>13</v>
      </c>
      <c r="B18" s="20">
        <f>'Özet'!$C$6+7*(18-6)</f>
      </c>
      <c r="C18" s="20">
        <f>B18+6</f>
      </c>
      <c r="D18" s="12">
        <f>COUNTIF(INDEX('Yıllık Görünüm'!$C$6:$BC$35,0,18-5),"İ")</f>
      </c>
      <c r="E18" s="12">
        <f>'Özet'!$C$11</f>
      </c>
      <c r="F18" s="21">
        <f>IF(N(E18)=0,"",D18/E18)</f>
      </c>
      <c r="G18" s="13">
        <f>IF(D18&gt;'Özet'!$C$9,"Çakışma riski",IF(D18&gt;0,"Uygun","İzinli yok"))</f>
      </c>
      <c r="H18" s="22"/>
    </row>
    <row r="19" spans="1:8" x14ac:dyDescent="0.25">
      <c r="A19" s="6">
        <v>14</v>
      </c>
      <c r="B19" s="20">
        <f>'Özet'!$C$6+7*(19-6)</f>
      </c>
      <c r="C19" s="20">
        <f>B19+6</f>
      </c>
      <c r="D19" s="12">
        <f>COUNTIF(INDEX('Yıllık Görünüm'!$C$6:$BC$35,0,19-5),"İ")</f>
      </c>
      <c r="E19" s="12">
        <f>'Özet'!$C$11</f>
      </c>
      <c r="F19" s="21">
        <f>IF(N(E19)=0,"",D19/E19)</f>
      </c>
      <c r="G19" s="13">
        <f>IF(D19&gt;'Özet'!$C$9,"Çakışma riski",IF(D19&gt;0,"Uygun","İzinli yok"))</f>
      </c>
      <c r="H19" s="22"/>
    </row>
    <row r="20" spans="1:8" x14ac:dyDescent="0.25">
      <c r="A20" s="6">
        <v>15</v>
      </c>
      <c r="B20" s="20">
        <f>'Özet'!$C$6+7*(20-6)</f>
      </c>
      <c r="C20" s="20">
        <f>B20+6</f>
      </c>
      <c r="D20" s="12">
        <f>COUNTIF(INDEX('Yıllık Görünüm'!$C$6:$BC$35,0,20-5),"İ")</f>
      </c>
      <c r="E20" s="12">
        <f>'Özet'!$C$11</f>
      </c>
      <c r="F20" s="21">
        <f>IF(N(E20)=0,"",D20/E20)</f>
      </c>
      <c r="G20" s="13">
        <f>IF(D20&gt;'Özet'!$C$9,"Çakışma riski",IF(D20&gt;0,"Uygun","İzinli yok"))</f>
      </c>
      <c r="H20" s="22"/>
    </row>
    <row r="21" spans="1:8" x14ac:dyDescent="0.25">
      <c r="A21" s="6">
        <v>16</v>
      </c>
      <c r="B21" s="20">
        <f>'Özet'!$C$6+7*(21-6)</f>
      </c>
      <c r="C21" s="20">
        <f>B21+6</f>
      </c>
      <c r="D21" s="12">
        <f>COUNTIF(INDEX('Yıllık Görünüm'!$C$6:$BC$35,0,21-5),"İ")</f>
      </c>
      <c r="E21" s="12">
        <f>'Özet'!$C$11</f>
      </c>
      <c r="F21" s="21">
        <f>IF(N(E21)=0,"",D21/E21)</f>
      </c>
      <c r="G21" s="13">
        <f>IF(D21&gt;'Özet'!$C$9,"Çakışma riski",IF(D21&gt;0,"Uygun","İzinli yok"))</f>
      </c>
      <c r="H21" s="22"/>
    </row>
    <row r="22" spans="1:8" x14ac:dyDescent="0.25">
      <c r="A22" s="6">
        <v>17</v>
      </c>
      <c r="B22" s="20">
        <f>'Özet'!$C$6+7*(22-6)</f>
      </c>
      <c r="C22" s="20">
        <f>B22+6</f>
      </c>
      <c r="D22" s="12">
        <f>COUNTIF(INDEX('Yıllık Görünüm'!$C$6:$BC$35,0,22-5),"İ")</f>
      </c>
      <c r="E22" s="12">
        <f>'Özet'!$C$11</f>
      </c>
      <c r="F22" s="21">
        <f>IF(N(E22)=0,"",D22/E22)</f>
      </c>
      <c r="G22" s="13">
        <f>IF(D22&gt;'Özet'!$C$9,"Çakışma riski",IF(D22&gt;0,"Uygun","İzinli yok"))</f>
      </c>
      <c r="H22" s="22"/>
    </row>
    <row r="23" spans="1:8" x14ac:dyDescent="0.25">
      <c r="A23" s="6">
        <v>18</v>
      </c>
      <c r="B23" s="20">
        <f>'Özet'!$C$6+7*(23-6)</f>
      </c>
      <c r="C23" s="20">
        <f>B23+6</f>
      </c>
      <c r="D23" s="12">
        <f>COUNTIF(INDEX('Yıllık Görünüm'!$C$6:$BC$35,0,23-5),"İ")</f>
      </c>
      <c r="E23" s="12">
        <f>'Özet'!$C$11</f>
      </c>
      <c r="F23" s="21">
        <f>IF(N(E23)=0,"",D23/E23)</f>
      </c>
      <c r="G23" s="13">
        <f>IF(D23&gt;'Özet'!$C$9,"Çakışma riski",IF(D23&gt;0,"Uygun","İzinli yok"))</f>
      </c>
      <c r="H23" s="22"/>
    </row>
    <row r="24" spans="1:8" x14ac:dyDescent="0.25">
      <c r="A24" s="6">
        <v>19</v>
      </c>
      <c r="B24" s="20">
        <f>'Özet'!$C$6+7*(24-6)</f>
      </c>
      <c r="C24" s="20">
        <f>B24+6</f>
      </c>
      <c r="D24" s="12">
        <f>COUNTIF(INDEX('Yıllık Görünüm'!$C$6:$BC$35,0,24-5),"İ")</f>
      </c>
      <c r="E24" s="12">
        <f>'Özet'!$C$11</f>
      </c>
      <c r="F24" s="21">
        <f>IF(N(E24)=0,"",D24/E24)</f>
      </c>
      <c r="G24" s="13">
        <f>IF(D24&gt;'Özet'!$C$9,"Çakışma riski",IF(D24&gt;0,"Uygun","İzinli yok"))</f>
      </c>
      <c r="H24" s="22"/>
    </row>
    <row r="25" spans="1:8" x14ac:dyDescent="0.25">
      <c r="A25" s="6">
        <v>20</v>
      </c>
      <c r="B25" s="20">
        <f>'Özet'!$C$6+7*(25-6)</f>
      </c>
      <c r="C25" s="20">
        <f>B25+6</f>
      </c>
      <c r="D25" s="12">
        <f>COUNTIF(INDEX('Yıllık Görünüm'!$C$6:$BC$35,0,25-5),"İ")</f>
      </c>
      <c r="E25" s="12">
        <f>'Özet'!$C$11</f>
      </c>
      <c r="F25" s="21">
        <f>IF(N(E25)=0,"",D25/E25)</f>
      </c>
      <c r="G25" s="13">
        <f>IF(D25&gt;'Özet'!$C$9,"Çakışma riski",IF(D25&gt;0,"Uygun","İzinli yok"))</f>
      </c>
      <c r="H25" s="22"/>
    </row>
    <row r="26" spans="1:8" x14ac:dyDescent="0.25">
      <c r="A26" s="6">
        <v>21</v>
      </c>
      <c r="B26" s="20">
        <f>'Özet'!$C$6+7*(26-6)</f>
      </c>
      <c r="C26" s="20">
        <f>B26+6</f>
      </c>
      <c r="D26" s="12">
        <f>COUNTIF(INDEX('Yıllık Görünüm'!$C$6:$BC$35,0,26-5),"İ")</f>
      </c>
      <c r="E26" s="12">
        <f>'Özet'!$C$11</f>
      </c>
      <c r="F26" s="21">
        <f>IF(N(E26)=0,"",D26/E26)</f>
      </c>
      <c r="G26" s="13">
        <f>IF(D26&gt;'Özet'!$C$9,"Çakışma riski",IF(D26&gt;0,"Uygun","İzinli yok"))</f>
      </c>
      <c r="H26" s="22"/>
    </row>
    <row r="27" spans="1:8" x14ac:dyDescent="0.25">
      <c r="A27" s="6">
        <v>22</v>
      </c>
      <c r="B27" s="20">
        <f>'Özet'!$C$6+7*(27-6)</f>
      </c>
      <c r="C27" s="20">
        <f>B27+6</f>
      </c>
      <c r="D27" s="12">
        <f>COUNTIF(INDEX('Yıllık Görünüm'!$C$6:$BC$35,0,27-5),"İ")</f>
      </c>
      <c r="E27" s="12">
        <f>'Özet'!$C$11</f>
      </c>
      <c r="F27" s="21">
        <f>IF(N(E27)=0,"",D27/E27)</f>
      </c>
      <c r="G27" s="13">
        <f>IF(D27&gt;'Özet'!$C$9,"Çakışma riski",IF(D27&gt;0,"Uygun","İzinli yok"))</f>
      </c>
      <c r="H27" s="22"/>
    </row>
    <row r="28" spans="1:8" x14ac:dyDescent="0.25">
      <c r="A28" s="6">
        <v>23</v>
      </c>
      <c r="B28" s="20">
        <f>'Özet'!$C$6+7*(28-6)</f>
      </c>
      <c r="C28" s="20">
        <f>B28+6</f>
      </c>
      <c r="D28" s="12">
        <f>COUNTIF(INDEX('Yıllık Görünüm'!$C$6:$BC$35,0,28-5),"İ")</f>
      </c>
      <c r="E28" s="12">
        <f>'Özet'!$C$11</f>
      </c>
      <c r="F28" s="21">
        <f>IF(N(E28)=0,"",D28/E28)</f>
      </c>
      <c r="G28" s="13">
        <f>IF(D28&gt;'Özet'!$C$9,"Çakışma riski",IF(D28&gt;0,"Uygun","İzinli yok"))</f>
      </c>
      <c r="H28" s="22"/>
    </row>
    <row r="29" spans="1:8" x14ac:dyDescent="0.25">
      <c r="A29" s="6">
        <v>24</v>
      </c>
      <c r="B29" s="20">
        <f>'Özet'!$C$6+7*(29-6)</f>
      </c>
      <c r="C29" s="20">
        <f>B29+6</f>
      </c>
      <c r="D29" s="12">
        <f>COUNTIF(INDEX('Yıllık Görünüm'!$C$6:$BC$35,0,29-5),"İ")</f>
      </c>
      <c r="E29" s="12">
        <f>'Özet'!$C$11</f>
      </c>
      <c r="F29" s="21">
        <f>IF(N(E29)=0,"",D29/E29)</f>
      </c>
      <c r="G29" s="13">
        <f>IF(D29&gt;'Özet'!$C$9,"Çakışma riski",IF(D29&gt;0,"Uygun","İzinli yok"))</f>
      </c>
      <c r="H29" s="22"/>
    </row>
    <row r="30" spans="1:8" x14ac:dyDescent="0.25">
      <c r="A30" s="6">
        <v>25</v>
      </c>
      <c r="B30" s="20">
        <f>'Özet'!$C$6+7*(30-6)</f>
      </c>
      <c r="C30" s="20">
        <f>B30+6</f>
      </c>
      <c r="D30" s="12">
        <f>COUNTIF(INDEX('Yıllık Görünüm'!$C$6:$BC$35,0,30-5),"İ")</f>
      </c>
      <c r="E30" s="12">
        <f>'Özet'!$C$11</f>
      </c>
      <c r="F30" s="21">
        <f>IF(N(E30)=0,"",D30/E30)</f>
      </c>
      <c r="G30" s="13">
        <f>IF(D30&gt;'Özet'!$C$9,"Çakışma riski",IF(D30&gt;0,"Uygun","İzinli yok"))</f>
      </c>
      <c r="H30" s="22"/>
    </row>
    <row r="31" spans="1:8" x14ac:dyDescent="0.25">
      <c r="A31" s="6">
        <v>26</v>
      </c>
      <c r="B31" s="20">
        <f>'Özet'!$C$6+7*(31-6)</f>
      </c>
      <c r="C31" s="20">
        <f>B31+6</f>
      </c>
      <c r="D31" s="12">
        <f>COUNTIF(INDEX('Yıllık Görünüm'!$C$6:$BC$35,0,31-5),"İ")</f>
      </c>
      <c r="E31" s="12">
        <f>'Özet'!$C$11</f>
      </c>
      <c r="F31" s="21">
        <f>IF(N(E31)=0,"",D31/E31)</f>
      </c>
      <c r="G31" s="13">
        <f>IF(D31&gt;'Özet'!$C$9,"Çakışma riski",IF(D31&gt;0,"Uygun","İzinli yok"))</f>
      </c>
      <c r="H31" s="22"/>
    </row>
    <row r="32" spans="1:8" x14ac:dyDescent="0.25">
      <c r="A32" s="6">
        <v>27</v>
      </c>
      <c r="B32" s="20">
        <f>'Özet'!$C$6+7*(32-6)</f>
      </c>
      <c r="C32" s="20">
        <f>B32+6</f>
      </c>
      <c r="D32" s="12">
        <f>COUNTIF(INDEX('Yıllık Görünüm'!$C$6:$BC$35,0,32-5),"İ")</f>
      </c>
      <c r="E32" s="12">
        <f>'Özet'!$C$11</f>
      </c>
      <c r="F32" s="21">
        <f>IF(N(E32)=0,"",D32/E32)</f>
      </c>
      <c r="G32" s="13">
        <f>IF(D32&gt;'Özet'!$C$9,"Çakışma riski",IF(D32&gt;0,"Uygun","İzinli yok"))</f>
      </c>
      <c r="H32" s="22"/>
    </row>
    <row r="33" spans="1:8" x14ac:dyDescent="0.25">
      <c r="A33" s="6">
        <v>28</v>
      </c>
      <c r="B33" s="20">
        <f>'Özet'!$C$6+7*(33-6)</f>
      </c>
      <c r="C33" s="20">
        <f>B33+6</f>
      </c>
      <c r="D33" s="12">
        <f>COUNTIF(INDEX('Yıllık Görünüm'!$C$6:$BC$35,0,33-5),"İ")</f>
      </c>
      <c r="E33" s="12">
        <f>'Özet'!$C$11</f>
      </c>
      <c r="F33" s="21">
        <f>IF(N(E33)=0,"",D33/E33)</f>
      </c>
      <c r="G33" s="13">
        <f>IF(D33&gt;'Özet'!$C$9,"Çakışma riski",IF(D33&gt;0,"Uygun","İzinli yok"))</f>
      </c>
      <c r="H33" s="22"/>
    </row>
    <row r="34" spans="1:8" x14ac:dyDescent="0.25">
      <c r="A34" s="6">
        <v>29</v>
      </c>
      <c r="B34" s="20">
        <f>'Özet'!$C$6+7*(34-6)</f>
      </c>
      <c r="C34" s="20">
        <f>B34+6</f>
      </c>
      <c r="D34" s="12">
        <f>COUNTIF(INDEX('Yıllık Görünüm'!$C$6:$BC$35,0,34-5),"İ")</f>
      </c>
      <c r="E34" s="12">
        <f>'Özet'!$C$11</f>
      </c>
      <c r="F34" s="21">
        <f>IF(N(E34)=0,"",D34/E34)</f>
      </c>
      <c r="G34" s="13">
        <f>IF(D34&gt;'Özet'!$C$9,"Çakışma riski",IF(D34&gt;0,"Uygun","İzinli yok"))</f>
      </c>
      <c r="H34" s="22"/>
    </row>
    <row r="35" spans="1:8" x14ac:dyDescent="0.25">
      <c r="A35" s="6">
        <v>30</v>
      </c>
      <c r="B35" s="20">
        <f>'Özet'!$C$6+7*(35-6)</f>
      </c>
      <c r="C35" s="20">
        <f>B35+6</f>
      </c>
      <c r="D35" s="12">
        <f>COUNTIF(INDEX('Yıllık Görünüm'!$C$6:$BC$35,0,35-5),"İ")</f>
      </c>
      <c r="E35" s="12">
        <f>'Özet'!$C$11</f>
      </c>
      <c r="F35" s="21">
        <f>IF(N(E35)=0,"",D35/E35)</f>
      </c>
      <c r="G35" s="13">
        <f>IF(D35&gt;'Özet'!$C$9,"Çakışma riski",IF(D35&gt;0,"Uygun","İzinli yok"))</f>
      </c>
      <c r="H35" s="22"/>
    </row>
    <row r="36" spans="1:8" x14ac:dyDescent="0.25">
      <c r="A36" s="6">
        <v>31</v>
      </c>
      <c r="B36" s="20">
        <f>'Özet'!$C$6+7*(36-6)</f>
      </c>
      <c r="C36" s="20">
        <f>B36+6</f>
      </c>
      <c r="D36" s="12">
        <f>COUNTIF(INDEX('Yıllık Görünüm'!$C$6:$BC$35,0,36-5),"İ")</f>
      </c>
      <c r="E36" s="12">
        <f>'Özet'!$C$11</f>
      </c>
      <c r="F36" s="21">
        <f>IF(N(E36)=0,"",D36/E36)</f>
      </c>
      <c r="G36" s="13">
        <f>IF(D36&gt;'Özet'!$C$9,"Çakışma riski",IF(D36&gt;0,"Uygun","İzinli yok"))</f>
      </c>
      <c r="H36" s="22"/>
    </row>
    <row r="37" spans="1:8" x14ac:dyDescent="0.25">
      <c r="A37" s="6">
        <v>32</v>
      </c>
      <c r="B37" s="20">
        <f>'Özet'!$C$6+7*(37-6)</f>
      </c>
      <c r="C37" s="20">
        <f>B37+6</f>
      </c>
      <c r="D37" s="12">
        <f>COUNTIF(INDEX('Yıllık Görünüm'!$C$6:$BC$35,0,37-5),"İ")</f>
      </c>
      <c r="E37" s="12">
        <f>'Özet'!$C$11</f>
      </c>
      <c r="F37" s="21">
        <f>IF(N(E37)=0,"",D37/E37)</f>
      </c>
      <c r="G37" s="13">
        <f>IF(D37&gt;'Özet'!$C$9,"Çakışma riski",IF(D37&gt;0,"Uygun","İzinli yok"))</f>
      </c>
      <c r="H37" s="22"/>
    </row>
    <row r="38" spans="1:8" x14ac:dyDescent="0.25">
      <c r="A38" s="6">
        <v>33</v>
      </c>
      <c r="B38" s="20">
        <f>'Özet'!$C$6+7*(38-6)</f>
      </c>
      <c r="C38" s="20">
        <f>B38+6</f>
      </c>
      <c r="D38" s="12">
        <f>COUNTIF(INDEX('Yıllık Görünüm'!$C$6:$BC$35,0,38-5),"İ")</f>
      </c>
      <c r="E38" s="12">
        <f>'Özet'!$C$11</f>
      </c>
      <c r="F38" s="21">
        <f>IF(N(E38)=0,"",D38/E38)</f>
      </c>
      <c r="G38" s="13">
        <f>IF(D38&gt;'Özet'!$C$9,"Çakışma riski",IF(D38&gt;0,"Uygun","İzinli yok"))</f>
      </c>
      <c r="H38" s="22"/>
    </row>
    <row r="39" spans="1:8" x14ac:dyDescent="0.25">
      <c r="A39" s="6">
        <v>34</v>
      </c>
      <c r="B39" s="20">
        <f>'Özet'!$C$6+7*(39-6)</f>
      </c>
      <c r="C39" s="20">
        <f>B39+6</f>
      </c>
      <c r="D39" s="12">
        <f>COUNTIF(INDEX('Yıllık Görünüm'!$C$6:$BC$35,0,39-5),"İ")</f>
      </c>
      <c r="E39" s="12">
        <f>'Özet'!$C$11</f>
      </c>
      <c r="F39" s="21">
        <f>IF(N(E39)=0,"",D39/E39)</f>
      </c>
      <c r="G39" s="13">
        <f>IF(D39&gt;'Özet'!$C$9,"Çakışma riski",IF(D39&gt;0,"Uygun","İzinli yok"))</f>
      </c>
      <c r="H39" s="22"/>
    </row>
    <row r="40" spans="1:8" x14ac:dyDescent="0.25">
      <c r="A40" s="6">
        <v>35</v>
      </c>
      <c r="B40" s="20">
        <f>'Özet'!$C$6+7*(40-6)</f>
      </c>
      <c r="C40" s="20">
        <f>B40+6</f>
      </c>
      <c r="D40" s="12">
        <f>COUNTIF(INDEX('Yıllık Görünüm'!$C$6:$BC$35,0,40-5),"İ")</f>
      </c>
      <c r="E40" s="12">
        <f>'Özet'!$C$11</f>
      </c>
      <c r="F40" s="21">
        <f>IF(N(E40)=0,"",D40/E40)</f>
      </c>
      <c r="G40" s="13">
        <f>IF(D40&gt;'Özet'!$C$9,"Çakışma riski",IF(D40&gt;0,"Uygun","İzinli yok"))</f>
      </c>
      <c r="H40" s="22"/>
    </row>
    <row r="41" spans="1:8" x14ac:dyDescent="0.25">
      <c r="A41" s="6">
        <v>36</v>
      </c>
      <c r="B41" s="20">
        <f>'Özet'!$C$6+7*(41-6)</f>
      </c>
      <c r="C41" s="20">
        <f>B41+6</f>
      </c>
      <c r="D41" s="12">
        <f>COUNTIF(INDEX('Yıllık Görünüm'!$C$6:$BC$35,0,41-5),"İ")</f>
      </c>
      <c r="E41" s="12">
        <f>'Özet'!$C$11</f>
      </c>
      <c r="F41" s="21">
        <f>IF(N(E41)=0,"",D41/E41)</f>
      </c>
      <c r="G41" s="13">
        <f>IF(D41&gt;'Özet'!$C$9,"Çakışma riski",IF(D41&gt;0,"Uygun","İzinli yok"))</f>
      </c>
      <c r="H41" s="22"/>
    </row>
    <row r="42" spans="1:8" x14ac:dyDescent="0.25">
      <c r="A42" s="6">
        <v>37</v>
      </c>
      <c r="B42" s="20">
        <f>'Özet'!$C$6+7*(42-6)</f>
      </c>
      <c r="C42" s="20">
        <f>B42+6</f>
      </c>
      <c r="D42" s="12">
        <f>COUNTIF(INDEX('Yıllık Görünüm'!$C$6:$BC$35,0,42-5),"İ")</f>
      </c>
      <c r="E42" s="12">
        <f>'Özet'!$C$11</f>
      </c>
      <c r="F42" s="21">
        <f>IF(N(E42)=0,"",D42/E42)</f>
      </c>
      <c r="G42" s="13">
        <f>IF(D42&gt;'Özet'!$C$9,"Çakışma riski",IF(D42&gt;0,"Uygun","İzinli yok"))</f>
      </c>
      <c r="H42" s="22"/>
    </row>
    <row r="43" spans="1:8" x14ac:dyDescent="0.25">
      <c r="A43" s="6">
        <v>38</v>
      </c>
      <c r="B43" s="20">
        <f>'Özet'!$C$6+7*(43-6)</f>
      </c>
      <c r="C43" s="20">
        <f>B43+6</f>
      </c>
      <c r="D43" s="12">
        <f>COUNTIF(INDEX('Yıllık Görünüm'!$C$6:$BC$35,0,43-5),"İ")</f>
      </c>
      <c r="E43" s="12">
        <f>'Özet'!$C$11</f>
      </c>
      <c r="F43" s="21">
        <f>IF(N(E43)=0,"",D43/E43)</f>
      </c>
      <c r="G43" s="13">
        <f>IF(D43&gt;'Özet'!$C$9,"Çakışma riski",IF(D43&gt;0,"Uygun","İzinli yok"))</f>
      </c>
      <c r="H43" s="22"/>
    </row>
    <row r="44" spans="1:8" x14ac:dyDescent="0.25">
      <c r="A44" s="6">
        <v>39</v>
      </c>
      <c r="B44" s="20">
        <f>'Özet'!$C$6+7*(44-6)</f>
      </c>
      <c r="C44" s="20">
        <f>B44+6</f>
      </c>
      <c r="D44" s="12">
        <f>COUNTIF(INDEX('Yıllık Görünüm'!$C$6:$BC$35,0,44-5),"İ")</f>
      </c>
      <c r="E44" s="12">
        <f>'Özet'!$C$11</f>
      </c>
      <c r="F44" s="21">
        <f>IF(N(E44)=0,"",D44/E44)</f>
      </c>
      <c r="G44" s="13">
        <f>IF(D44&gt;'Özet'!$C$9,"Çakışma riski",IF(D44&gt;0,"Uygun","İzinli yok"))</f>
      </c>
      <c r="H44" s="22"/>
    </row>
    <row r="45" spans="1:8" x14ac:dyDescent="0.25">
      <c r="A45" s="6">
        <v>40</v>
      </c>
      <c r="B45" s="20">
        <f>'Özet'!$C$6+7*(45-6)</f>
      </c>
      <c r="C45" s="20">
        <f>B45+6</f>
      </c>
      <c r="D45" s="12">
        <f>COUNTIF(INDEX('Yıllık Görünüm'!$C$6:$BC$35,0,45-5),"İ")</f>
      </c>
      <c r="E45" s="12">
        <f>'Özet'!$C$11</f>
      </c>
      <c r="F45" s="21">
        <f>IF(N(E45)=0,"",D45/E45)</f>
      </c>
      <c r="G45" s="13">
        <f>IF(D45&gt;'Özet'!$C$9,"Çakışma riski",IF(D45&gt;0,"Uygun","İzinli yok"))</f>
      </c>
      <c r="H45" s="22"/>
    </row>
    <row r="46" spans="1:8" x14ac:dyDescent="0.25">
      <c r="A46" s="6">
        <v>41</v>
      </c>
      <c r="B46" s="20">
        <f>'Özet'!$C$6+7*(46-6)</f>
      </c>
      <c r="C46" s="20">
        <f>B46+6</f>
      </c>
      <c r="D46" s="12">
        <f>COUNTIF(INDEX('Yıllık Görünüm'!$C$6:$BC$35,0,46-5),"İ")</f>
      </c>
      <c r="E46" s="12">
        <f>'Özet'!$C$11</f>
      </c>
      <c r="F46" s="21">
        <f>IF(N(E46)=0,"",D46/E46)</f>
      </c>
      <c r="G46" s="13">
        <f>IF(D46&gt;'Özet'!$C$9,"Çakışma riski",IF(D46&gt;0,"Uygun","İzinli yok"))</f>
      </c>
      <c r="H46" s="22"/>
    </row>
    <row r="47" spans="1:8" x14ac:dyDescent="0.25">
      <c r="A47" s="6">
        <v>42</v>
      </c>
      <c r="B47" s="20">
        <f>'Özet'!$C$6+7*(47-6)</f>
      </c>
      <c r="C47" s="20">
        <f>B47+6</f>
      </c>
      <c r="D47" s="12">
        <f>COUNTIF(INDEX('Yıllık Görünüm'!$C$6:$BC$35,0,47-5),"İ")</f>
      </c>
      <c r="E47" s="12">
        <f>'Özet'!$C$11</f>
      </c>
      <c r="F47" s="21">
        <f>IF(N(E47)=0,"",D47/E47)</f>
      </c>
      <c r="G47" s="13">
        <f>IF(D47&gt;'Özet'!$C$9,"Çakışma riski",IF(D47&gt;0,"Uygun","İzinli yok"))</f>
      </c>
      <c r="H47" s="22"/>
    </row>
    <row r="48" spans="1:8" x14ac:dyDescent="0.25">
      <c r="A48" s="6">
        <v>43</v>
      </c>
      <c r="B48" s="20">
        <f>'Özet'!$C$6+7*(48-6)</f>
      </c>
      <c r="C48" s="20">
        <f>B48+6</f>
      </c>
      <c r="D48" s="12">
        <f>COUNTIF(INDEX('Yıllık Görünüm'!$C$6:$BC$35,0,48-5),"İ")</f>
      </c>
      <c r="E48" s="12">
        <f>'Özet'!$C$11</f>
      </c>
      <c r="F48" s="21">
        <f>IF(N(E48)=0,"",D48/E48)</f>
      </c>
      <c r="G48" s="13">
        <f>IF(D48&gt;'Özet'!$C$9,"Çakışma riski",IF(D48&gt;0,"Uygun","İzinli yok"))</f>
      </c>
      <c r="H48" s="22"/>
    </row>
    <row r="49" spans="1:8" x14ac:dyDescent="0.25">
      <c r="A49" s="6">
        <v>44</v>
      </c>
      <c r="B49" s="20">
        <f>'Özet'!$C$6+7*(49-6)</f>
      </c>
      <c r="C49" s="20">
        <f>B49+6</f>
      </c>
      <c r="D49" s="12">
        <f>COUNTIF(INDEX('Yıllık Görünüm'!$C$6:$BC$35,0,49-5),"İ")</f>
      </c>
      <c r="E49" s="12">
        <f>'Özet'!$C$11</f>
      </c>
      <c r="F49" s="21">
        <f>IF(N(E49)=0,"",D49/E49)</f>
      </c>
      <c r="G49" s="13">
        <f>IF(D49&gt;'Özet'!$C$9,"Çakışma riski",IF(D49&gt;0,"Uygun","İzinli yok"))</f>
      </c>
      <c r="H49" s="22"/>
    </row>
    <row r="50" spans="1:8" x14ac:dyDescent="0.25">
      <c r="A50" s="6">
        <v>45</v>
      </c>
      <c r="B50" s="20">
        <f>'Özet'!$C$6+7*(50-6)</f>
      </c>
      <c r="C50" s="20">
        <f>B50+6</f>
      </c>
      <c r="D50" s="12">
        <f>COUNTIF(INDEX('Yıllık Görünüm'!$C$6:$BC$35,0,50-5),"İ")</f>
      </c>
      <c r="E50" s="12">
        <f>'Özet'!$C$11</f>
      </c>
      <c r="F50" s="21">
        <f>IF(N(E50)=0,"",D50/E50)</f>
      </c>
      <c r="G50" s="13">
        <f>IF(D50&gt;'Özet'!$C$9,"Çakışma riski",IF(D50&gt;0,"Uygun","İzinli yok"))</f>
      </c>
      <c r="H50" s="22"/>
    </row>
    <row r="51" spans="1:8" x14ac:dyDescent="0.25">
      <c r="A51" s="6">
        <v>46</v>
      </c>
      <c r="B51" s="20">
        <f>'Özet'!$C$6+7*(51-6)</f>
      </c>
      <c r="C51" s="20">
        <f>B51+6</f>
      </c>
      <c r="D51" s="12">
        <f>COUNTIF(INDEX('Yıllık Görünüm'!$C$6:$BC$35,0,51-5),"İ")</f>
      </c>
      <c r="E51" s="12">
        <f>'Özet'!$C$11</f>
      </c>
      <c r="F51" s="21">
        <f>IF(N(E51)=0,"",D51/E51)</f>
      </c>
      <c r="G51" s="13">
        <f>IF(D51&gt;'Özet'!$C$9,"Çakışma riski",IF(D51&gt;0,"Uygun","İzinli yok"))</f>
      </c>
      <c r="H51" s="22"/>
    </row>
    <row r="52" spans="1:8" x14ac:dyDescent="0.25">
      <c r="A52" s="6">
        <v>47</v>
      </c>
      <c r="B52" s="20">
        <f>'Özet'!$C$6+7*(52-6)</f>
      </c>
      <c r="C52" s="20">
        <f>B52+6</f>
      </c>
      <c r="D52" s="12">
        <f>COUNTIF(INDEX('Yıllık Görünüm'!$C$6:$BC$35,0,52-5),"İ")</f>
      </c>
      <c r="E52" s="12">
        <f>'Özet'!$C$11</f>
      </c>
      <c r="F52" s="21">
        <f>IF(N(E52)=0,"",D52/E52)</f>
      </c>
      <c r="G52" s="13">
        <f>IF(D52&gt;'Özet'!$C$9,"Çakışma riski",IF(D52&gt;0,"Uygun","İzinli yok"))</f>
      </c>
      <c r="H52" s="22"/>
    </row>
    <row r="53" spans="1:8" x14ac:dyDescent="0.25">
      <c r="A53" s="6">
        <v>48</v>
      </c>
      <c r="B53" s="20">
        <f>'Özet'!$C$6+7*(53-6)</f>
      </c>
      <c r="C53" s="20">
        <f>B53+6</f>
      </c>
      <c r="D53" s="12">
        <f>COUNTIF(INDEX('Yıllık Görünüm'!$C$6:$BC$35,0,53-5),"İ")</f>
      </c>
      <c r="E53" s="12">
        <f>'Özet'!$C$11</f>
      </c>
      <c r="F53" s="21">
        <f>IF(N(E53)=0,"",D53/E53)</f>
      </c>
      <c r="G53" s="13">
        <f>IF(D53&gt;'Özet'!$C$9,"Çakışma riski",IF(D53&gt;0,"Uygun","İzinli yok"))</f>
      </c>
      <c r="H53" s="22"/>
    </row>
    <row r="54" spans="1:8" x14ac:dyDescent="0.25">
      <c r="A54" s="6">
        <v>49</v>
      </c>
      <c r="B54" s="20">
        <f>'Özet'!$C$6+7*(54-6)</f>
      </c>
      <c r="C54" s="20">
        <f>B54+6</f>
      </c>
      <c r="D54" s="12">
        <f>COUNTIF(INDEX('Yıllık Görünüm'!$C$6:$BC$35,0,54-5),"İ")</f>
      </c>
      <c r="E54" s="12">
        <f>'Özet'!$C$11</f>
      </c>
      <c r="F54" s="21">
        <f>IF(N(E54)=0,"",D54/E54)</f>
      </c>
      <c r="G54" s="13">
        <f>IF(D54&gt;'Özet'!$C$9,"Çakışma riski",IF(D54&gt;0,"Uygun","İzinli yok"))</f>
      </c>
      <c r="H54" s="22"/>
    </row>
    <row r="55" spans="1:8" x14ac:dyDescent="0.25">
      <c r="A55" s="6">
        <v>50</v>
      </c>
      <c r="B55" s="20">
        <f>'Özet'!$C$6+7*(55-6)</f>
      </c>
      <c r="C55" s="20">
        <f>B55+6</f>
      </c>
      <c r="D55" s="12">
        <f>COUNTIF(INDEX('Yıllık Görünüm'!$C$6:$BC$35,0,55-5),"İ")</f>
      </c>
      <c r="E55" s="12">
        <f>'Özet'!$C$11</f>
      </c>
      <c r="F55" s="21">
        <f>IF(N(E55)=0,"",D55/E55)</f>
      </c>
      <c r="G55" s="13">
        <f>IF(D55&gt;'Özet'!$C$9,"Çakışma riski",IF(D55&gt;0,"Uygun","İzinli yok"))</f>
      </c>
      <c r="H55" s="22"/>
    </row>
    <row r="56" spans="1:8" x14ac:dyDescent="0.25">
      <c r="A56" s="6">
        <v>51</v>
      </c>
      <c r="B56" s="20">
        <f>'Özet'!$C$6+7*(56-6)</f>
      </c>
      <c r="C56" s="20">
        <f>B56+6</f>
      </c>
      <c r="D56" s="12">
        <f>COUNTIF(INDEX('Yıllık Görünüm'!$C$6:$BC$35,0,56-5),"İ")</f>
      </c>
      <c r="E56" s="12">
        <f>'Özet'!$C$11</f>
      </c>
      <c r="F56" s="21">
        <f>IF(N(E56)=0,"",D56/E56)</f>
      </c>
      <c r="G56" s="13">
        <f>IF(D56&gt;'Özet'!$C$9,"Çakışma riski",IF(D56&gt;0,"Uygun","İzinli yok"))</f>
      </c>
      <c r="H56" s="22"/>
    </row>
    <row r="57" spans="1:8" x14ac:dyDescent="0.25">
      <c r="A57" s="6">
        <v>52</v>
      </c>
      <c r="B57" s="20">
        <f>'Özet'!$C$6+7*(57-6)</f>
      </c>
      <c r="C57" s="20">
        <f>B57+6</f>
      </c>
      <c r="D57" s="12">
        <f>COUNTIF(INDEX('Yıllık Görünüm'!$C$6:$BC$35,0,57-5),"İ")</f>
      </c>
      <c r="E57" s="12">
        <f>'Özet'!$C$11</f>
      </c>
      <c r="F57" s="21">
        <f>IF(N(E57)=0,"",D57/E57)</f>
      </c>
      <c r="G57" s="13">
        <f>IF(D57&gt;'Özet'!$C$9,"Çakışma riski",IF(D57&gt;0,"Uygun","İzinli yok"))</f>
      </c>
      <c r="H57" s="22"/>
    </row>
    <row r="58" spans="1:8" x14ac:dyDescent="0.25">
      <c r="A58" s="6">
        <v>53</v>
      </c>
      <c r="B58" s="20">
        <f>'Özet'!$C$6+7*(58-6)</f>
      </c>
      <c r="C58" s="20">
        <f>B58+6</f>
      </c>
      <c r="D58" s="12">
        <f>COUNTIF(INDEX('Yıllık Görünüm'!$C$6:$BC$35,0,58-5),"İ")</f>
      </c>
      <c r="E58" s="12">
        <f>'Özet'!$C$11</f>
      </c>
      <c r="F58" s="21">
        <f>IF(N(E58)=0,"",D58/E58)</f>
      </c>
      <c r="G58" s="13">
        <f>IF(D58&gt;'Özet'!$C$9,"Çakışma riski",IF(D58&gt;0,"Uygun","İzinli yok"))</f>
      </c>
      <c r="H58" s="22"/>
    </row>
  </sheetData>
  <autoFilter ref="A5:H5"/>
  <conditionalFormatting sqref="G6:G58">
    <cfRule type="cellIs" dxfId="114" priority="1" operator="equal">
      <formula>"Çakışma riski"</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3" t="s">
        <v>105</v>
      </c>
    </row>
    <row r="6" ht="20" customHeight="1" spans="2:4" x14ac:dyDescent="0.25">
      <c r="B6" s="24" t="s">
        <v>106</v>
      </c>
      <c r="C6" s="25">
        <v>46384</v>
      </c>
      <c r="D6" s="26" t="s">
        <v>107</v>
      </c>
    </row>
    <row r="7" ht="20" customHeight="1" spans="2:4" x14ac:dyDescent="0.25">
      <c r="B7" s="24" t="s">
        <v>108</v>
      </c>
      <c r="C7" s="27" t="s">
        <v>109</v>
      </c>
    </row>
    <row r="8" ht="20" customHeight="1" spans="2:4" x14ac:dyDescent="0.25">
      <c r="B8" s="24" t="s">
        <v>110</v>
      </c>
      <c r="C8" s="27" t="s">
        <v>111</v>
      </c>
    </row>
    <row r="9" ht="20" customHeight="1" spans="2:4" x14ac:dyDescent="0.25">
      <c r="B9" s="24" t="s">
        <v>112</v>
      </c>
      <c r="C9" s="28">
        <v>2</v>
      </c>
      <c r="D9" s="26" t="s">
        <v>113</v>
      </c>
    </row>
    <row r="10" ht="24" customHeight="1" spans="2:2" x14ac:dyDescent="0.25">
      <c r="B10" s="23" t="s">
        <v>114</v>
      </c>
    </row>
    <row r="11" ht="20" customHeight="1" spans="2:4" x14ac:dyDescent="0.25">
      <c r="B11" s="24" t="s">
        <v>115</v>
      </c>
      <c r="C11" s="29">
        <f>COUNTA('İzin Planı'!$C$6:$C$35)</f>
      </c>
    </row>
    <row r="12" ht="20" customHeight="1" spans="2:4" x14ac:dyDescent="0.25">
      <c r="B12" s="24" t="s">
        <v>116</v>
      </c>
      <c r="C12" s="29">
        <f>SUM('İzin Planı'!$E$6:$E$35)</f>
      </c>
    </row>
    <row r="13" ht="20" customHeight="1" spans="2:4" x14ac:dyDescent="0.25">
      <c r="B13" s="24" t="s">
        <v>117</v>
      </c>
      <c r="C13" s="29">
        <f>SUM('İzin Planı'!$O$6:$O$35)</f>
      </c>
    </row>
    <row r="14" ht="20" customHeight="1" spans="2:4" x14ac:dyDescent="0.25">
      <c r="B14" s="24" t="s">
        <v>118</v>
      </c>
      <c r="C14" s="29">
        <f>SUM('İzin Planı'!$P$6:$P$35)</f>
      </c>
      <c r="D14" s="26" t="s">
        <v>119</v>
      </c>
    </row>
    <row r="15" ht="20" customHeight="1" spans="2:4" x14ac:dyDescent="0.25">
      <c r="B15" s="24" t="s">
        <v>120</v>
      </c>
      <c r="C15" s="29">
        <f>MAX('Haftalık Doluluk'!$D$6:$D$58)</f>
      </c>
    </row>
    <row r="16" ht="20" customHeight="1" spans="2:4" x14ac:dyDescent="0.25">
      <c r="B16" s="24" t="s">
        <v>121</v>
      </c>
      <c r="C16" s="29">
        <f>COUNTIF('Haftalık Doluluk'!$G$6:$G$58,"Çakışma riski")</f>
      </c>
      <c r="D16" s="26" t="s">
        <v>122</v>
      </c>
    </row>
    <row r="17" ht="20" customHeight="1" spans="2:4" x14ac:dyDescent="0.25">
      <c r="B17" s="24" t="s">
        <v>123</v>
      </c>
      <c r="C17" s="29">
        <f>COUNTIF('İzin Planı'!$Q$6:$Q$35,"Kontrol")</f>
      </c>
    </row>
    <row r="18" ht="20" customHeight="1" spans="2:4" x14ac:dyDescent="0.25">
      <c r="B18" s="24" t="s">
        <v>124</v>
      </c>
      <c r="C18" s="29">
        <f>COUNTIF('İzin Planı'!$T$6:$T$35,"Beklemede")+COUNTIF('İzin Planı'!$T$6:$T$35,"Revize")</f>
      </c>
    </row>
    <row r="19" ht="24" customHeight="1" spans="2:2" x14ac:dyDescent="0.25">
      <c r="B19" s="23" t="s">
        <v>125</v>
      </c>
    </row>
    <row r="20" ht="20" customHeight="1" spans="2:4" x14ac:dyDescent="0.25">
      <c r="B20" s="24" t="s">
        <v>126</v>
      </c>
      <c r="C20" s="27" t="s">
        <v>127</v>
      </c>
    </row>
    <row r="21" ht="20" customHeight="1" spans="2:4" x14ac:dyDescent="0.25">
      <c r="B21" s="24" t="s">
        <v>128</v>
      </c>
      <c r="C21" s="27" t="s">
        <v>127</v>
      </c>
    </row>
    <row r="22" ht="20" customHeight="1" spans="2:4" x14ac:dyDescent="0.25">
      <c r="B22" s="24" t="s">
        <v>129</v>
      </c>
      <c r="C22" s="27" t="s">
        <v>130</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131</v>
      </c>
    </row>
    <row r="2" ht="18" customHeight="1" spans="2:2" x14ac:dyDescent="0.25">
      <c r="B2" s="2" t="s">
        <v>0</v>
      </c>
    </row>
    <row r="3" ht="16" customHeight="1" spans="2:2" x14ac:dyDescent="0.25">
      <c r="B3" s="3" t="s">
        <v>2</v>
      </c>
    </row>
    <row r="4" spans="1:2" x14ac:dyDescent="0.25">
      <c r="A4" s="4"/>
      <c r="B4" s="4"/>
    </row>
    <row r="5" ht="45" customHeight="1" spans="2:2" x14ac:dyDescent="0.25">
      <c r="B5" s="30" t="s">
        <v>132</v>
      </c>
    </row>
    <row r="7" ht="22" customHeight="1" spans="2:2" x14ac:dyDescent="0.25">
      <c r="B7" s="31" t="s">
        <v>133</v>
      </c>
    </row>
    <row r="8" ht="30" customHeight="1" spans="2:2" x14ac:dyDescent="0.25">
      <c r="B8" s="30" t="s">
        <v>134</v>
      </c>
    </row>
    <row r="9" ht="30" customHeight="1" spans="2:2" x14ac:dyDescent="0.25">
      <c r="B9" s="30" t="s">
        <v>135</v>
      </c>
    </row>
    <row r="10" ht="30" customHeight="1" spans="2:2" x14ac:dyDescent="0.25">
      <c r="B10" s="30" t="s">
        <v>136</v>
      </c>
    </row>
    <row r="11" ht="30" customHeight="1" spans="2:2" x14ac:dyDescent="0.25">
      <c r="B11" s="30" t="s">
        <v>137</v>
      </c>
    </row>
    <row r="12" ht="18" customHeight="1" spans="2:2" x14ac:dyDescent="0.25">
      <c r="B12" s="30" t="s">
        <v>138</v>
      </c>
    </row>
    <row r="13" ht="45" customHeight="1" spans="2:2" x14ac:dyDescent="0.25">
      <c r="B13" s="30" t="s">
        <v>139</v>
      </c>
    </row>
    <row r="14" ht="30" customHeight="1" spans="2:2" x14ac:dyDescent="0.25">
      <c r="B14" s="30" t="s">
        <v>140</v>
      </c>
    </row>
    <row r="15" ht="30" customHeight="1" spans="2:2" x14ac:dyDescent="0.25">
      <c r="B15" s="30" t="s">
        <v>141</v>
      </c>
    </row>
    <row r="16" ht="8" customHeight="1" spans="2:2" x14ac:dyDescent="0.25">
      <c r="B16" s="30" t="s">
        <v>142</v>
      </c>
    </row>
    <row r="17" ht="30" customHeight="1" spans="2:2" x14ac:dyDescent="0.25">
      <c r="B17" s="32" t="s">
        <v>143</v>
      </c>
    </row>
    <row r="19" ht="20" customHeight="1" spans="2:2" x14ac:dyDescent="0.25">
      <c r="B19" s="33" t="s">
        <v>144</v>
      </c>
    </row>
    <row r="20" ht="30" customHeight="1" spans="2:2" x14ac:dyDescent="0.25">
      <c r="B20" s="30" t="s">
        <v>145</v>
      </c>
    </row>
    <row r="22" ht="18" customHeight="1" spans="2:2" x14ac:dyDescent="0.25">
      <c r="B22" s="34" t="s">
        <v>146</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İzin Planı</vt:lpstr>
      <vt:lpstr>Yıllık Görünüm</vt:lpstr>
      <vt:lpstr>Haftalık Doluluk</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Yıllık İzin Planı</dc:title>
  <dc:subject/>
  <dc:description/>
  <cp:keywords/>
  <cp:category/>
  <cp:lastModifiedBy>Unknown</cp:lastModifiedBy>
  <dcterms:created xsi:type="dcterms:W3CDTF">2026-10-12T09:00:00Z</dcterms:created>
  <dcterms:modified xsi:type="dcterms:W3CDTF">2026-10-12T09:00:00Z</dcterms:modified>
</cp:coreProperties>
</file>